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230" windowWidth="12510" windowHeight="1170" tabRatio="679"/>
  </bookViews>
  <sheets>
    <sheet name="A-2 (PAGE 1) " sheetId="8" r:id="rId1"/>
    <sheet name="A-2 (PAGE 2)" sheetId="22" r:id="rId2"/>
    <sheet name="A-3 (PAGE 1)" sheetId="17" r:id="rId3"/>
    <sheet name="A-3 (PAGE 2)" sheetId="5" r:id="rId4"/>
    <sheet name="A-4-GAS (PAGE 1)" sheetId="4" r:id="rId5"/>
    <sheet name="A-4-ELECTRIC (PAGE 2)" sheetId="3" r:id="rId6"/>
    <sheet name="A-5-GAS (PAGE 1-2)" sheetId="19" r:id="rId7"/>
    <sheet name="A-5-ELECTRIC (PAGE 3-4)" sheetId="20" r:id="rId8"/>
    <sheet name="INPUTS" sheetId="24" state="hidden" r:id="rId9"/>
    <sheet name="Sheet1" sheetId="25" r:id="rId10"/>
  </sheets>
  <definedNames>
    <definedName name="_xlnm.Print_Area" localSheetId="0">'A-2 (PAGE 1) '!$A$1:$L$39</definedName>
    <definedName name="_xlnm.Print_Area" localSheetId="1">'A-2 (PAGE 2)'!$A$1:$I$57</definedName>
    <definedName name="_xlnm.Print_Area" localSheetId="2">'A-3 (PAGE 1)'!$A$1:$I$42</definedName>
    <definedName name="_xlnm.Print_Area" localSheetId="3">'A-3 (PAGE 2)'!$A$1:$I$44</definedName>
    <definedName name="_xlnm.Print_Area" localSheetId="5">'A-4-ELECTRIC (PAGE 2)'!$A$1:$N$38</definedName>
    <definedName name="_xlnm.Print_Area" localSheetId="4">'A-4-GAS (PAGE 1)'!$A$1:$N$38</definedName>
    <definedName name="_xlnm.Print_Area" localSheetId="6">'A-5-GAS (PAGE 1-2)'!$A$1:$Z$39</definedName>
    <definedName name="_xlnm.Print_Area" localSheetId="8">INPUTS!$A$1:$O$122</definedName>
    <definedName name="_xlnm.Print_Titles" localSheetId="5">'A-4-ELECTRIC (PAGE 2)'!$A:$A</definedName>
    <definedName name="_xlnm.Print_Titles" localSheetId="4">'A-4-GAS (PAGE 1)'!$A:$A</definedName>
  </definedNames>
  <calcPr calcId="145621"/>
</workbook>
</file>

<file path=xl/calcChain.xml><?xml version="1.0" encoding="utf-8"?>
<calcChain xmlns="http://schemas.openxmlformats.org/spreadsheetml/2006/main">
  <c r="F13" i="8" l="1"/>
  <c r="F18" i="8" s="1"/>
  <c r="F9" i="8" l="1"/>
  <c r="E18" i="17" l="1"/>
  <c r="C29" i="17" l="1"/>
  <c r="C30" i="17"/>
  <c r="C28" i="17"/>
  <c r="C27" i="17"/>
  <c r="E31" i="5" l="1" a="1"/>
  <c r="E33" i="5" s="1"/>
  <c r="D31" i="5" a="1"/>
  <c r="E38" i="5" l="1"/>
  <c r="E32" i="5"/>
  <c r="E41" i="5"/>
  <c r="E36" i="5"/>
  <c r="E35" i="5"/>
  <c r="E31" i="5"/>
  <c r="E39" i="5"/>
  <c r="E42" i="5"/>
  <c r="E40" i="5"/>
  <c r="E34" i="5"/>
  <c r="E37" i="5"/>
  <c r="D31" i="5"/>
  <c r="D32" i="5"/>
  <c r="D40" i="5"/>
  <c r="D37" i="5"/>
  <c r="D34" i="5"/>
  <c r="D35" i="5"/>
  <c r="D42" i="5"/>
  <c r="D41" i="5"/>
  <c r="D36" i="5"/>
  <c r="D38" i="5"/>
  <c r="D39" i="5"/>
  <c r="D33" i="5"/>
  <c r="G31" i="4"/>
  <c r="G31" i="3"/>
  <c r="L31" i="4"/>
  <c r="L31" i="3"/>
  <c r="H31" i="4"/>
  <c r="H31" i="3"/>
  <c r="D31" i="4"/>
  <c r="D31" i="3"/>
  <c r="C31" i="4"/>
  <c r="C31" i="3"/>
  <c r="B31" i="20"/>
  <c r="B31" i="19"/>
  <c r="J31" i="3"/>
  <c r="J31" i="4"/>
  <c r="F31" i="3"/>
  <c r="F31" i="4"/>
  <c r="B31" i="3"/>
  <c r="B31" i="4"/>
  <c r="K31" i="4"/>
  <c r="K31" i="3"/>
  <c r="M31" i="4"/>
  <c r="M31" i="3"/>
  <c r="I31" i="4"/>
  <c r="I31" i="3"/>
  <c r="E31" i="4"/>
  <c r="E31" i="3"/>
  <c r="C31" i="19" l="1"/>
  <c r="C31" i="20"/>
  <c r="D31" i="20" l="1"/>
  <c r="D31" i="19"/>
  <c r="E31" i="20" l="1"/>
  <c r="E31" i="19"/>
  <c r="F31" i="20" l="1"/>
  <c r="F31" i="19"/>
  <c r="G31" i="19" l="1"/>
  <c r="G31" i="20"/>
  <c r="H31" i="19" l="1"/>
  <c r="H31" i="20"/>
  <c r="I31" i="20" l="1"/>
  <c r="I31" i="19"/>
  <c r="J31" i="20" l="1"/>
  <c r="J31" i="19"/>
  <c r="K31" i="19" l="1"/>
  <c r="K31" i="20"/>
  <c r="L31" i="20" l="1"/>
  <c r="L31" i="19"/>
  <c r="M31" i="19" l="1"/>
  <c r="M31" i="20"/>
  <c r="O31" i="20" l="1"/>
  <c r="O31" i="19"/>
  <c r="P31" i="19" l="1"/>
  <c r="P31" i="20"/>
  <c r="Q31" i="20" l="1"/>
  <c r="Q31" i="19"/>
  <c r="R31" i="20" l="1"/>
  <c r="R31" i="19"/>
  <c r="S31" i="19" l="1"/>
  <c r="S31" i="20"/>
  <c r="T31" i="19" l="1"/>
  <c r="T31" i="20"/>
  <c r="U31" i="19" l="1"/>
  <c r="U31" i="20"/>
  <c r="V31" i="20" l="1"/>
  <c r="V31" i="19"/>
  <c r="W31" i="19" l="1"/>
  <c r="W31" i="20"/>
  <c r="X31" i="19" l="1"/>
  <c r="X31" i="20"/>
  <c r="Y31" i="19" l="1"/>
  <c r="Y31" i="20"/>
  <c r="F18" i="17" l="1"/>
  <c r="E17" i="17" l="1"/>
  <c r="E16" i="17"/>
  <c r="E15" i="17"/>
  <c r="E14" i="17"/>
  <c r="E13" i="17"/>
  <c r="E12" i="17"/>
  <c r="E11" i="17"/>
  <c r="E10" i="17"/>
  <c r="E9" i="17"/>
  <c r="E8" i="17"/>
  <c r="E7" i="17"/>
  <c r="E6" i="17"/>
  <c r="C17" i="17" l="1"/>
  <c r="C16" i="17"/>
  <c r="C15" i="17"/>
  <c r="C14" i="17"/>
  <c r="C13" i="17"/>
  <c r="C12" i="17"/>
  <c r="C11" i="17"/>
  <c r="C10" i="17"/>
  <c r="C9" i="17"/>
  <c r="C8" i="17"/>
  <c r="C7" i="17"/>
  <c r="C6" i="17"/>
  <c r="G9" i="8" l="1"/>
  <c r="L12" i="4" l="1"/>
  <c r="M12" i="4"/>
  <c r="E4" i="24" l="1"/>
  <c r="F4" i="24" s="1"/>
  <c r="G4" i="24" s="1"/>
  <c r="H4" i="24" s="1"/>
  <c r="J4" i="24"/>
  <c r="K4" i="24" s="1"/>
  <c r="L4" i="24" s="1"/>
  <c r="M4" i="24" s="1"/>
  <c r="N4" i="24" s="1"/>
  <c r="O4" i="24" s="1"/>
  <c r="E5" i="24"/>
  <c r="F5" i="24" s="1"/>
  <c r="G5" i="24" s="1"/>
  <c r="H5" i="24" s="1"/>
  <c r="I5" i="24" s="1"/>
  <c r="J5" i="24" s="1"/>
  <c r="K5" i="24" s="1"/>
  <c r="L5" i="24" s="1"/>
  <c r="M5" i="24" s="1"/>
  <c r="N5" i="24" s="1"/>
  <c r="O5" i="24" s="1"/>
  <c r="P4" i="24" l="1"/>
  <c r="Q4" i="24" s="1"/>
  <c r="R4" i="24" s="1"/>
  <c r="S4" i="24" s="1"/>
  <c r="T4" i="24" s="1"/>
  <c r="V4" i="24" s="1"/>
  <c r="W4" i="24" s="1"/>
  <c r="X4" i="24" s="1"/>
  <c r="Y4" i="24" s="1"/>
  <c r="Z4" i="24" s="1"/>
  <c r="AA4" i="24" s="1"/>
  <c r="AB4" i="24" s="1"/>
  <c r="AC4" i="24" s="1"/>
  <c r="AD4" i="24" s="1"/>
  <c r="AE4" i="24" s="1"/>
  <c r="AF4" i="24" s="1"/>
  <c r="AH4" i="24" s="1"/>
  <c r="AI4" i="24" s="1"/>
  <c r="AJ4" i="24" s="1"/>
  <c r="AK4" i="24" s="1"/>
  <c r="AL4" i="24" s="1"/>
  <c r="B41" i="5"/>
  <c r="B42" i="5"/>
  <c r="A13" i="8"/>
  <c r="A14" i="8"/>
  <c r="A31" i="8"/>
  <c r="A47" i="22" l="1"/>
  <c r="B4" i="19" l="1"/>
  <c r="N4" i="20" l="1"/>
  <c r="C33" i="17" l="1"/>
  <c r="K9" i="8" l="1"/>
  <c r="J9" i="8"/>
  <c r="I9" i="8"/>
  <c r="H9" i="8"/>
  <c r="E9" i="8"/>
  <c r="A4" i="8"/>
  <c r="K13" i="8"/>
  <c r="K18" i="8" s="1"/>
  <c r="J13" i="8"/>
  <c r="J18" i="8" s="1"/>
  <c r="I13" i="8"/>
  <c r="I18" i="8" s="1"/>
  <c r="H13" i="8"/>
  <c r="H18" i="8" s="1"/>
  <c r="G13" i="8"/>
  <c r="A3" i="8" l="1"/>
  <c r="A3" i="22"/>
  <c r="D53" i="22"/>
  <c r="D54" i="22"/>
  <c r="D55" i="22"/>
  <c r="D52" i="22"/>
  <c r="D47" i="22"/>
  <c r="D35" i="22"/>
  <c r="D36" i="22"/>
  <c r="D37" i="22"/>
  <c r="D38" i="22"/>
  <c r="D39" i="22"/>
  <c r="D34" i="22"/>
  <c r="D31" i="22" l="1"/>
  <c r="A22" i="22"/>
  <c r="A29" i="8" s="1"/>
  <c r="A20" i="22"/>
  <c r="A27" i="8" s="1"/>
  <c r="A18" i="22"/>
  <c r="A25" i="8" s="1"/>
  <c r="A17" i="22"/>
  <c r="A24" i="8" s="1"/>
  <c r="A9" i="22"/>
  <c r="A22" i="8" s="1"/>
  <c r="C25" i="17"/>
  <c r="C26" i="17"/>
  <c r="C24" i="17"/>
  <c r="C31" i="17" l="1"/>
  <c r="A11" i="17"/>
  <c r="A6" i="17"/>
  <c r="G12" i="5" l="1"/>
  <c r="H12" i="5"/>
  <c r="B34" i="5" l="1"/>
  <c r="G7" i="4"/>
  <c r="B7" i="4"/>
  <c r="G7" i="3"/>
  <c r="B7" i="3"/>
  <c r="A4" i="5" l="1"/>
  <c r="A3" i="5"/>
  <c r="B14" i="4"/>
  <c r="C12" i="4"/>
  <c r="D12" i="4"/>
  <c r="E12" i="4"/>
  <c r="F12" i="4"/>
  <c r="G12" i="4"/>
  <c r="H12" i="4"/>
  <c r="I12" i="4"/>
  <c r="J12" i="4"/>
  <c r="K12" i="4"/>
  <c r="B12" i="4"/>
  <c r="B9" i="4"/>
  <c r="A3" i="4"/>
  <c r="M14" i="3"/>
  <c r="L14" i="3"/>
  <c r="K14" i="3"/>
  <c r="J14" i="3"/>
  <c r="I14" i="3"/>
  <c r="H14" i="3"/>
  <c r="G14" i="3"/>
  <c r="F14" i="3"/>
  <c r="E14" i="3"/>
  <c r="D14" i="3"/>
  <c r="C14" i="3"/>
  <c r="B14" i="3"/>
  <c r="G12" i="3"/>
  <c r="H12" i="3"/>
  <c r="I12" i="3"/>
  <c r="J12" i="3"/>
  <c r="K12" i="3"/>
  <c r="L12" i="3"/>
  <c r="M12" i="3"/>
  <c r="C12" i="3"/>
  <c r="D12" i="3"/>
  <c r="E12" i="3"/>
  <c r="F12" i="3"/>
  <c r="B12" i="3"/>
  <c r="A3" i="3"/>
  <c r="D6" i="17" l="1"/>
  <c r="B4" i="20"/>
  <c r="Y16" i="20" l="1"/>
  <c r="Y8" i="20"/>
  <c r="O8" i="20"/>
  <c r="P8" i="20"/>
  <c r="Q8" i="20"/>
  <c r="R8" i="20"/>
  <c r="S8" i="20"/>
  <c r="T8" i="20"/>
  <c r="U8" i="20"/>
  <c r="V8" i="20"/>
  <c r="W8" i="20"/>
  <c r="X8" i="20"/>
  <c r="M8" i="20"/>
  <c r="G8" i="20"/>
  <c r="H8" i="20"/>
  <c r="I8" i="20"/>
  <c r="J8" i="20"/>
  <c r="K8" i="20"/>
  <c r="L8" i="20"/>
  <c r="W8" i="19" l="1"/>
  <c r="X8" i="19"/>
  <c r="Y8" i="19"/>
  <c r="S8" i="19"/>
  <c r="T8" i="19"/>
  <c r="U8" i="19"/>
  <c r="V8" i="19"/>
  <c r="P8" i="19" l="1"/>
  <c r="Q8" i="19"/>
  <c r="R8" i="19"/>
  <c r="O8" i="19"/>
  <c r="M8" i="19"/>
  <c r="H8" i="19"/>
  <c r="I8" i="19"/>
  <c r="J8" i="19"/>
  <c r="K8" i="19"/>
  <c r="L8" i="19"/>
  <c r="G8" i="19"/>
  <c r="A7" i="17" l="1"/>
  <c r="C7" i="4"/>
  <c r="C7" i="3"/>
  <c r="A12" i="17"/>
  <c r="A9" i="17" l="1"/>
  <c r="E7" i="3"/>
  <c r="E7" i="4"/>
  <c r="B32" i="5"/>
  <c r="A8" i="17"/>
  <c r="B31" i="5"/>
  <c r="D7" i="4"/>
  <c r="D7" i="3"/>
  <c r="B35" i="5"/>
  <c r="H7" i="4"/>
  <c r="H7" i="3"/>
  <c r="A13" i="17"/>
  <c r="A10" i="17" l="1"/>
  <c r="F7" i="4"/>
  <c r="B33" i="5"/>
  <c r="F7" i="3"/>
  <c r="B36" i="5"/>
  <c r="I7" i="3"/>
  <c r="I7" i="4"/>
  <c r="A14" i="17"/>
  <c r="B37" i="5" l="1"/>
  <c r="J7" i="4"/>
  <c r="J7" i="3"/>
  <c r="A15" i="17"/>
  <c r="B38" i="5" l="1"/>
  <c r="K7" i="3"/>
  <c r="K7" i="4"/>
  <c r="A16" i="17"/>
  <c r="L7" i="4" l="1"/>
  <c r="B39" i="5"/>
  <c r="L7" i="3"/>
  <c r="A17" i="17"/>
  <c r="M7" i="4" l="1"/>
  <c r="B40" i="5"/>
  <c r="M7" i="3"/>
  <c r="B8" i="20" l="1"/>
  <c r="B8" i="19"/>
  <c r="C8" i="20" l="1"/>
  <c r="D8" i="20"/>
  <c r="C8" i="19"/>
  <c r="E8" i="20" l="1"/>
  <c r="D8" i="19"/>
  <c r="E19" i="17"/>
  <c r="C34" i="17" s="1"/>
  <c r="C16" i="3"/>
  <c r="D16" i="3"/>
  <c r="G42" i="5"/>
  <c r="G41" i="5"/>
  <c r="C19" i="17"/>
  <c r="B16" i="4"/>
  <c r="B16" i="20"/>
  <c r="C16" i="20"/>
  <c r="D16" i="20"/>
  <c r="E16" i="20"/>
  <c r="F16" i="20"/>
  <c r="G16" i="20"/>
  <c r="H16" i="20"/>
  <c r="I16" i="20"/>
  <c r="J16" i="20"/>
  <c r="K16" i="20"/>
  <c r="L16" i="20"/>
  <c r="M16" i="20"/>
  <c r="O16" i="20"/>
  <c r="P16" i="20"/>
  <c r="Q16" i="20"/>
  <c r="R16" i="20"/>
  <c r="S16" i="20"/>
  <c r="T16" i="20"/>
  <c r="U16" i="20"/>
  <c r="V16" i="20"/>
  <c r="W16" i="20"/>
  <c r="X16" i="20"/>
  <c r="B16" i="19"/>
  <c r="C16" i="19"/>
  <c r="D16" i="19"/>
  <c r="E16" i="19"/>
  <c r="F16" i="19"/>
  <c r="G16" i="19"/>
  <c r="H16" i="19"/>
  <c r="I16" i="19"/>
  <c r="J16" i="19"/>
  <c r="K16" i="19"/>
  <c r="L16" i="19"/>
  <c r="M16" i="19"/>
  <c r="O16" i="19"/>
  <c r="P16" i="19"/>
  <c r="Q16" i="19"/>
  <c r="R16" i="19"/>
  <c r="S16" i="19"/>
  <c r="T16" i="19"/>
  <c r="U16" i="19"/>
  <c r="V16" i="19"/>
  <c r="W16" i="19"/>
  <c r="X16" i="19"/>
  <c r="Y16" i="19"/>
  <c r="H16" i="3"/>
  <c r="F16" i="3"/>
  <c r="G33" i="5" l="1"/>
  <c r="G35" i="5"/>
  <c r="E8" i="19"/>
  <c r="G38" i="5"/>
  <c r="D40" i="22"/>
  <c r="C35" i="17"/>
  <c r="C37" i="17" s="1"/>
  <c r="E16" i="3"/>
  <c r="G36" i="5"/>
  <c r="I16" i="3"/>
  <c r="M16" i="3"/>
  <c r="B23" i="4"/>
  <c r="B19" i="4"/>
  <c r="G18" i="8"/>
  <c r="D18" i="8" s="1"/>
  <c r="G34" i="5"/>
  <c r="G16" i="3"/>
  <c r="L16" i="3"/>
  <c r="G31" i="5"/>
  <c r="G37" i="5"/>
  <c r="J16" i="3"/>
  <c r="B16" i="3"/>
  <c r="N14" i="3"/>
  <c r="K16" i="3"/>
  <c r="G39" i="5"/>
  <c r="F8" i="19" l="1"/>
  <c r="F8" i="20"/>
  <c r="G32" i="5"/>
  <c r="D44" i="5"/>
  <c r="H6" i="17"/>
  <c r="B6" i="17"/>
  <c r="F6" i="17"/>
  <c r="E44" i="5"/>
  <c r="H18" i="5" s="1"/>
  <c r="H21" i="5" s="1"/>
  <c r="D25" i="8" s="1"/>
  <c r="E18" i="22" s="1"/>
  <c r="B25" i="4"/>
  <c r="B27" i="4" s="1"/>
  <c r="B30" i="4" s="1"/>
  <c r="C9" i="4"/>
  <c r="C23" i="4"/>
  <c r="G40" i="5"/>
  <c r="B33" i="4" l="1"/>
  <c r="I6" i="17"/>
  <c r="G15" i="5"/>
  <c r="G21" i="5" s="1"/>
  <c r="D24" i="8" s="1"/>
  <c r="D17" i="22" s="1"/>
  <c r="G44" i="5"/>
  <c r="D13" i="8" l="1"/>
  <c r="B9" i="3" l="1"/>
  <c r="B23" i="3" l="1"/>
  <c r="B19" i="3"/>
  <c r="B25" i="3" l="1"/>
  <c r="B27" i="3" s="1"/>
  <c r="C9" i="3"/>
  <c r="B30" i="3" l="1"/>
  <c r="B33" i="3" s="1"/>
  <c r="C23" i="3"/>
  <c r="C19" i="3"/>
  <c r="C25" i="3" l="1"/>
  <c r="C27" i="3" s="1"/>
  <c r="D9" i="3"/>
  <c r="C30" i="3" l="1"/>
  <c r="C33" i="3" s="1"/>
  <c r="D23" i="3"/>
  <c r="D19" i="3"/>
  <c r="D25" i="3" l="1"/>
  <c r="D27" i="3" s="1"/>
  <c r="E9" i="3"/>
  <c r="D30" i="3" l="1"/>
  <c r="D33" i="3" s="1"/>
  <c r="E23" i="3"/>
  <c r="E19" i="3"/>
  <c r="F9" i="3" l="1"/>
  <c r="E25" i="3"/>
  <c r="E27" i="3" s="1"/>
  <c r="E30" i="3" l="1"/>
  <c r="E33" i="3" s="1"/>
  <c r="F19" i="3"/>
  <c r="F23" i="3"/>
  <c r="F25" i="3" l="1"/>
  <c r="F27" i="3" s="1"/>
  <c r="G9" i="3"/>
  <c r="F30" i="3" l="1"/>
  <c r="F33" i="3" s="1"/>
  <c r="G19" i="3"/>
  <c r="G23" i="3"/>
  <c r="H9" i="3" l="1"/>
  <c r="G25" i="3"/>
  <c r="G27" i="3" s="1"/>
  <c r="G30" i="3" l="1"/>
  <c r="G33" i="3" s="1"/>
  <c r="H19" i="3"/>
  <c r="H23" i="3"/>
  <c r="I9" i="3" l="1"/>
  <c r="H25" i="3"/>
  <c r="H27" i="3" s="1"/>
  <c r="H30" i="3" l="1"/>
  <c r="H33" i="3" s="1"/>
  <c r="I19" i="3"/>
  <c r="I23" i="3"/>
  <c r="J9" i="3" l="1"/>
  <c r="I25" i="3"/>
  <c r="I27" i="3" s="1"/>
  <c r="I30" i="3" l="1"/>
  <c r="I33" i="3" s="1"/>
  <c r="J23" i="3"/>
  <c r="J19" i="3"/>
  <c r="J25" i="3" l="1"/>
  <c r="J27" i="3" s="1"/>
  <c r="K9" i="3"/>
  <c r="J30" i="3" l="1"/>
  <c r="J33" i="3" s="1"/>
  <c r="K19" i="3"/>
  <c r="K23" i="3"/>
  <c r="L9" i="3" l="1"/>
  <c r="K25" i="3"/>
  <c r="K27" i="3" s="1"/>
  <c r="K30" i="3" l="1"/>
  <c r="K33" i="3" s="1"/>
  <c r="L19" i="3"/>
  <c r="L23" i="3"/>
  <c r="M9" i="3" l="1"/>
  <c r="L25" i="3"/>
  <c r="L27" i="3" s="1"/>
  <c r="L30" i="3" l="1"/>
  <c r="L33" i="3" s="1"/>
  <c r="M19" i="3"/>
  <c r="M23" i="3"/>
  <c r="M25" i="3" l="1"/>
  <c r="M27" i="3" s="1"/>
  <c r="M30" i="3" l="1"/>
  <c r="M33" i="3" s="1"/>
  <c r="M35" i="3" s="1"/>
  <c r="B10" i="20" l="1"/>
  <c r="B19" i="20" s="1"/>
  <c r="B23" i="20" l="1"/>
  <c r="B25" i="20"/>
  <c r="C10" i="20"/>
  <c r="B27" i="20" l="1"/>
  <c r="B30" i="20" s="1"/>
  <c r="C23" i="20"/>
  <c r="C19" i="20"/>
  <c r="B33" i="20" l="1"/>
  <c r="C25" i="20"/>
  <c r="C27" i="20" s="1"/>
  <c r="D10" i="20"/>
  <c r="C30" i="20" l="1"/>
  <c r="D19" i="20"/>
  <c r="D23" i="20"/>
  <c r="C33" i="20" l="1"/>
  <c r="E10" i="20"/>
  <c r="D25" i="20"/>
  <c r="D27" i="20" s="1"/>
  <c r="D30" i="20" l="1"/>
  <c r="E23" i="20"/>
  <c r="E19" i="20"/>
  <c r="D33" i="20" l="1"/>
  <c r="E25" i="20"/>
  <c r="E27" i="20" s="1"/>
  <c r="F10" i="20"/>
  <c r="E30" i="20" l="1"/>
  <c r="F23" i="20"/>
  <c r="F19" i="20"/>
  <c r="E33" i="20" l="1"/>
  <c r="F25" i="20"/>
  <c r="F27" i="20" s="1"/>
  <c r="G10" i="20"/>
  <c r="F30" i="20" l="1"/>
  <c r="G23" i="20"/>
  <c r="G19" i="20"/>
  <c r="F33" i="20" l="1"/>
  <c r="H10" i="20"/>
  <c r="G25" i="20"/>
  <c r="G27" i="20" s="1"/>
  <c r="G30" i="20" l="1"/>
  <c r="G33" i="20" s="1"/>
  <c r="H23" i="20"/>
  <c r="H19" i="20"/>
  <c r="H25" i="20" l="1"/>
  <c r="H27" i="20" s="1"/>
  <c r="I10" i="20"/>
  <c r="H30" i="20" l="1"/>
  <c r="H33" i="20" s="1"/>
  <c r="I19" i="20"/>
  <c r="I23" i="20"/>
  <c r="J10" i="20" l="1"/>
  <c r="I25" i="20"/>
  <c r="I27" i="20" s="1"/>
  <c r="I30" i="20" l="1"/>
  <c r="I33" i="20" s="1"/>
  <c r="J23" i="20"/>
  <c r="J19" i="20"/>
  <c r="J25" i="20" l="1"/>
  <c r="J27" i="20" s="1"/>
  <c r="K10" i="20"/>
  <c r="J30" i="20" l="1"/>
  <c r="J33" i="20" s="1"/>
  <c r="K19" i="20"/>
  <c r="K23" i="20"/>
  <c r="K25" i="20" l="1"/>
  <c r="K27" i="20" s="1"/>
  <c r="L10" i="20"/>
  <c r="K30" i="20" l="1"/>
  <c r="K33" i="20" s="1"/>
  <c r="L23" i="20"/>
  <c r="L19" i="20"/>
  <c r="L25" i="20" l="1"/>
  <c r="L27" i="20" s="1"/>
  <c r="M10" i="20"/>
  <c r="L30" i="20" l="1"/>
  <c r="L33" i="20" s="1"/>
  <c r="M23" i="20"/>
  <c r="M19" i="20" l="1"/>
  <c r="M25" i="20" s="1"/>
  <c r="M27" i="20" s="1"/>
  <c r="M30" i="20" l="1"/>
  <c r="M33" i="20" s="1"/>
  <c r="O10" i="20" s="1"/>
  <c r="O23" i="20" s="1"/>
  <c r="O19" i="20" l="1"/>
  <c r="P10" i="20" s="1"/>
  <c r="O25" i="20" l="1"/>
  <c r="O27" i="20" s="1"/>
  <c r="O30" i="20" s="1"/>
  <c r="P23" i="20"/>
  <c r="P19" i="20"/>
  <c r="O33" i="20" l="1"/>
  <c r="Q10" i="20"/>
  <c r="P25" i="20"/>
  <c r="P27" i="20" s="1"/>
  <c r="P30" i="20" s="1"/>
  <c r="P33" i="20" l="1"/>
  <c r="Q23" i="20"/>
  <c r="Q19" i="20"/>
  <c r="R10" i="20" l="1"/>
  <c r="Q25" i="20"/>
  <c r="Q27" i="20" s="1"/>
  <c r="Q30" i="20" s="1"/>
  <c r="Q33" i="20" l="1"/>
  <c r="R19" i="20"/>
  <c r="R23" i="20"/>
  <c r="S10" i="20" l="1"/>
  <c r="R25" i="20"/>
  <c r="R27" i="20" s="1"/>
  <c r="R30" i="20" s="1"/>
  <c r="R33" i="20" l="1"/>
  <c r="S19" i="20"/>
  <c r="S23" i="20"/>
  <c r="S25" i="20" l="1"/>
  <c r="S27" i="20" s="1"/>
  <c r="S30" i="20" s="1"/>
  <c r="T10" i="20"/>
  <c r="S33" i="20" l="1"/>
  <c r="T19" i="20"/>
  <c r="T23" i="20"/>
  <c r="T25" i="20" l="1"/>
  <c r="T27" i="20" s="1"/>
  <c r="T30" i="20" s="1"/>
  <c r="U10" i="20"/>
  <c r="T33" i="20" l="1"/>
  <c r="U19" i="20"/>
  <c r="U23" i="20"/>
  <c r="U25" i="20" l="1"/>
  <c r="U27" i="20" s="1"/>
  <c r="U30" i="20" s="1"/>
  <c r="V10" i="20"/>
  <c r="U33" i="20" l="1"/>
  <c r="V19" i="20"/>
  <c r="V23" i="20"/>
  <c r="W10" i="20" l="1"/>
  <c r="V25" i="20"/>
  <c r="V27" i="20" s="1"/>
  <c r="V30" i="20" s="1"/>
  <c r="V33" i="20" l="1"/>
  <c r="W23" i="20"/>
  <c r="W19" i="20"/>
  <c r="W25" i="20" l="1"/>
  <c r="W27" i="20" s="1"/>
  <c r="W30" i="20" s="1"/>
  <c r="X10" i="20"/>
  <c r="W33" i="20" l="1"/>
  <c r="X23" i="20"/>
  <c r="X19" i="20"/>
  <c r="Y10" i="20" l="1"/>
  <c r="X25" i="20"/>
  <c r="X27" i="20" s="1"/>
  <c r="X30" i="20" s="1"/>
  <c r="X33" i="20" l="1"/>
  <c r="Y23" i="20"/>
  <c r="Y19" i="20"/>
  <c r="Y25" i="20" s="1"/>
  <c r="Y27" i="20" l="1"/>
  <c r="Y30" i="20" s="1"/>
  <c r="Z30" i="20" s="1"/>
  <c r="D29" i="8" l="1"/>
  <c r="E22" i="22" l="1"/>
  <c r="Y33" i="20"/>
  <c r="K14" i="4" l="1"/>
  <c r="D15" i="17" s="1"/>
  <c r="I14" i="4"/>
  <c r="D13" i="17" s="1"/>
  <c r="E14" i="4"/>
  <c r="D9" i="17" s="1"/>
  <c r="D14" i="4"/>
  <c r="H14" i="4"/>
  <c r="G14" i="4"/>
  <c r="C14" i="4"/>
  <c r="K16" i="4" l="1"/>
  <c r="E16" i="4"/>
  <c r="I16" i="4"/>
  <c r="J14" i="4"/>
  <c r="D14" i="17" s="1"/>
  <c r="F14" i="4"/>
  <c r="M14" i="4"/>
  <c r="H9" i="17"/>
  <c r="F9" i="17"/>
  <c r="B9" i="17"/>
  <c r="D11" i="17"/>
  <c r="G16" i="4"/>
  <c r="D12" i="17"/>
  <c r="H16" i="4"/>
  <c r="D16" i="4"/>
  <c r="D8" i="17"/>
  <c r="D7" i="17"/>
  <c r="C16" i="4"/>
  <c r="C19" i="4" s="1"/>
  <c r="B13" i="17"/>
  <c r="F13" i="17"/>
  <c r="H13" i="17"/>
  <c r="L14" i="4"/>
  <c r="F15" i="17"/>
  <c r="H15" i="17"/>
  <c r="B15" i="17"/>
  <c r="I9" i="17" l="1"/>
  <c r="I15" i="17"/>
  <c r="J16" i="4"/>
  <c r="M16" i="4"/>
  <c r="D17" i="17"/>
  <c r="F16" i="4"/>
  <c r="D10" i="17"/>
  <c r="D16" i="17"/>
  <c r="L16" i="4"/>
  <c r="N14" i="4"/>
  <c r="B11" i="17"/>
  <c r="F11" i="17"/>
  <c r="H11" i="17"/>
  <c r="F14" i="17"/>
  <c r="H14" i="17"/>
  <c r="B14" i="17"/>
  <c r="D23" i="4"/>
  <c r="D9" i="4"/>
  <c r="D19" i="4" s="1"/>
  <c r="C25" i="4"/>
  <c r="C27" i="4" s="1"/>
  <c r="B8" i="17"/>
  <c r="F8" i="17"/>
  <c r="H8" i="17"/>
  <c r="I13" i="17"/>
  <c r="B7" i="17"/>
  <c r="F7" i="17"/>
  <c r="H7" i="17"/>
  <c r="B12" i="17"/>
  <c r="F12" i="17"/>
  <c r="H12" i="17"/>
  <c r="C30" i="4" l="1"/>
  <c r="C33" i="4" s="1"/>
  <c r="I8" i="17"/>
  <c r="B17" i="17"/>
  <c r="H17" i="17"/>
  <c r="F17" i="17"/>
  <c r="D19" i="17"/>
  <c r="B10" i="17"/>
  <c r="H10" i="17"/>
  <c r="F10" i="17"/>
  <c r="I12" i="17"/>
  <c r="I14" i="17"/>
  <c r="I7" i="17"/>
  <c r="I11" i="17"/>
  <c r="E9" i="4"/>
  <c r="E19" i="4" s="1"/>
  <c r="D25" i="4"/>
  <c r="D27" i="4" s="1"/>
  <c r="E23" i="4"/>
  <c r="H16" i="17"/>
  <c r="F16" i="17"/>
  <c r="B16" i="17"/>
  <c r="D30" i="4" l="1"/>
  <c r="D33" i="4" s="1"/>
  <c r="B19" i="17"/>
  <c r="I10" i="17"/>
  <c r="H19" i="17"/>
  <c r="I17" i="17"/>
  <c r="I16" i="17"/>
  <c r="F19" i="17"/>
  <c r="E14" i="8" s="1"/>
  <c r="E20" i="8" s="1"/>
  <c r="D20" i="8" s="1"/>
  <c r="F9" i="4"/>
  <c r="F19" i="4" s="1"/>
  <c r="E25" i="4"/>
  <c r="E27" i="4" s="1"/>
  <c r="F23" i="4"/>
  <c r="E30" i="4" l="1"/>
  <c r="E33" i="4" s="1"/>
  <c r="I19" i="17"/>
  <c r="G9" i="4"/>
  <c r="G19" i="4" s="1"/>
  <c r="F25" i="4"/>
  <c r="F27" i="4" s="1"/>
  <c r="G23" i="4"/>
  <c r="D22" i="8"/>
  <c r="D14" i="8"/>
  <c r="F30" i="4" l="1"/>
  <c r="F33" i="4" s="1"/>
  <c r="F9" i="22"/>
  <c r="H9" i="4"/>
  <c r="H19" i="4" s="1"/>
  <c r="H23" i="4"/>
  <c r="G25" i="4"/>
  <c r="G27" i="4" s="1"/>
  <c r="G30" i="4" l="1"/>
  <c r="G33" i="4" s="1"/>
  <c r="I9" i="4"/>
  <c r="I19" i="4" s="1"/>
  <c r="I23" i="4"/>
  <c r="H25" i="4"/>
  <c r="H27" i="4" s="1"/>
  <c r="D13" i="22"/>
  <c r="E14" i="22"/>
  <c r="E24" i="22" s="1"/>
  <c r="D46" i="22" s="1"/>
  <c r="D48" i="22" s="1"/>
  <c r="H30" i="4" l="1"/>
  <c r="H33" i="4" s="1"/>
  <c r="E54" i="22"/>
  <c r="F54" i="22" s="1"/>
  <c r="E53" i="22"/>
  <c r="F53" i="22" s="1"/>
  <c r="E55" i="22"/>
  <c r="F55" i="22" s="1"/>
  <c r="E52" i="22"/>
  <c r="F52" i="22" s="1"/>
  <c r="I25" i="4"/>
  <c r="I27" i="4" s="1"/>
  <c r="J23" i="4"/>
  <c r="J9" i="4"/>
  <c r="J19" i="4" s="1"/>
  <c r="I30" i="4" l="1"/>
  <c r="I33" i="4" s="1"/>
  <c r="K23" i="4"/>
  <c r="J25" i="4"/>
  <c r="J27" i="4" s="1"/>
  <c r="K9" i="4"/>
  <c r="K19" i="4" s="1"/>
  <c r="J30" i="4" l="1"/>
  <c r="J33" i="4" s="1"/>
  <c r="L9" i="4"/>
  <c r="L19" i="4" s="1"/>
  <c r="L23" i="4"/>
  <c r="K25" i="4"/>
  <c r="K27" i="4" s="1"/>
  <c r="K30" i="4" l="1"/>
  <c r="K33" i="4" s="1"/>
  <c r="M23" i="4"/>
  <c r="L25" i="4"/>
  <c r="L27" i="4" s="1"/>
  <c r="M9" i="4"/>
  <c r="M19" i="4" s="1"/>
  <c r="M25" i="4" s="1"/>
  <c r="L30" i="4" l="1"/>
  <c r="L33" i="4" s="1"/>
  <c r="M27" i="4"/>
  <c r="M30" i="4" l="1"/>
  <c r="M33" i="4" s="1"/>
  <c r="M36" i="4" s="1"/>
  <c r="B10" i="19" s="1"/>
  <c r="B19" i="19" l="1"/>
  <c r="B25" i="19" s="1"/>
  <c r="B23" i="19"/>
  <c r="C10" i="19"/>
  <c r="C23" i="19" s="1"/>
  <c r="D10" i="19" l="1"/>
  <c r="D19" i="19" s="1"/>
  <c r="D25" i="19" s="1"/>
  <c r="C19" i="19"/>
  <c r="C25" i="19" s="1"/>
  <c r="C27" i="19" s="1"/>
  <c r="C30" i="19" s="1"/>
  <c r="B27" i="19"/>
  <c r="B30" i="19" s="1"/>
  <c r="B33" i="19" l="1"/>
  <c r="C33" i="19" s="1"/>
  <c r="E10" i="19"/>
  <c r="E23" i="19" s="1"/>
  <c r="D23" i="19"/>
  <c r="D27" i="19" s="1"/>
  <c r="D30" i="19" s="1"/>
  <c r="F10" i="19" l="1"/>
  <c r="G10" i="19" s="1"/>
  <c r="E19" i="19"/>
  <c r="E25" i="19" s="1"/>
  <c r="E27" i="19" s="1"/>
  <c r="E30" i="19" s="1"/>
  <c r="D33" i="19"/>
  <c r="F19" i="19" l="1"/>
  <c r="F25" i="19" s="1"/>
  <c r="F23" i="19"/>
  <c r="E33" i="19"/>
  <c r="H10" i="19"/>
  <c r="G23" i="19"/>
  <c r="G19" i="19"/>
  <c r="G25" i="19" s="1"/>
  <c r="F27" i="19" l="1"/>
  <c r="F30" i="19" s="1"/>
  <c r="F33" i="19" s="1"/>
  <c r="I10" i="19"/>
  <c r="H19" i="19"/>
  <c r="H25" i="19" s="1"/>
  <c r="H23" i="19"/>
  <c r="G27" i="19"/>
  <c r="G30" i="19" s="1"/>
  <c r="G33" i="19" l="1"/>
  <c r="H27" i="19"/>
  <c r="H30" i="19" s="1"/>
  <c r="J10" i="19"/>
  <c r="I23" i="19"/>
  <c r="I19" i="19"/>
  <c r="I25" i="19" s="1"/>
  <c r="H33" i="19" l="1"/>
  <c r="I27" i="19"/>
  <c r="I30" i="19" s="1"/>
  <c r="K10" i="19"/>
  <c r="J19" i="19"/>
  <c r="J25" i="19" s="1"/>
  <c r="J23" i="19"/>
  <c r="I33" i="19" l="1"/>
  <c r="J27" i="19"/>
  <c r="J30" i="19" s="1"/>
  <c r="L10" i="19"/>
  <c r="M10" i="19" s="1"/>
  <c r="K19" i="19"/>
  <c r="K25" i="19" s="1"/>
  <c r="K23" i="19"/>
  <c r="J33" i="19" l="1"/>
  <c r="L19" i="19"/>
  <c r="L25" i="19" s="1"/>
  <c r="L23" i="19"/>
  <c r="K27" i="19"/>
  <c r="K30" i="19" s="1"/>
  <c r="K33" i="19" l="1"/>
  <c r="L27" i="19"/>
  <c r="L30" i="19" s="1"/>
  <c r="L33" i="19" l="1"/>
  <c r="M19" i="19"/>
  <c r="M25" i="19" s="1"/>
  <c r="M23" i="19"/>
  <c r="M27" i="19" l="1"/>
  <c r="M30" i="19" s="1"/>
  <c r="M33" i="19" l="1"/>
  <c r="O10" i="19" s="1"/>
  <c r="P10" i="19" l="1"/>
  <c r="O23" i="19"/>
  <c r="O19" i="19"/>
  <c r="O25" i="19" s="1"/>
  <c r="O27" i="19" l="1"/>
  <c r="Q10" i="19"/>
  <c r="P19" i="19"/>
  <c r="P25" i="19" s="1"/>
  <c r="P23" i="19"/>
  <c r="O30" i="19" l="1"/>
  <c r="O33" i="19" s="1"/>
  <c r="P27" i="19"/>
  <c r="R10" i="19"/>
  <c r="Q23" i="19"/>
  <c r="Q19" i="19"/>
  <c r="Q25" i="19" s="1"/>
  <c r="P30" i="19" l="1"/>
  <c r="P33" i="19" s="1"/>
  <c r="S10" i="19"/>
  <c r="R19" i="19"/>
  <c r="R25" i="19" s="1"/>
  <c r="R23" i="19"/>
  <c r="Q27" i="19"/>
  <c r="Q30" i="19" l="1"/>
  <c r="Q33" i="19" s="1"/>
  <c r="R27" i="19"/>
  <c r="T10" i="19"/>
  <c r="S19" i="19"/>
  <c r="S25" i="19" s="1"/>
  <c r="S23" i="19"/>
  <c r="R30" i="19" l="1"/>
  <c r="R33" i="19" s="1"/>
  <c r="S27" i="19"/>
  <c r="U10" i="19"/>
  <c r="T19" i="19"/>
  <c r="T25" i="19" s="1"/>
  <c r="T23" i="19"/>
  <c r="S30" i="19" l="1"/>
  <c r="S33" i="19" s="1"/>
  <c r="T27" i="19"/>
  <c r="V10" i="19"/>
  <c r="U23" i="19"/>
  <c r="U19" i="19"/>
  <c r="U25" i="19" s="1"/>
  <c r="T30" i="19" l="1"/>
  <c r="T33" i="19" s="1"/>
  <c r="W10" i="19"/>
  <c r="V19" i="19"/>
  <c r="V25" i="19" s="1"/>
  <c r="V23" i="19"/>
  <c r="U27" i="19"/>
  <c r="U30" i="19" l="1"/>
  <c r="U33" i="19" s="1"/>
  <c r="X10" i="19"/>
  <c r="W23" i="19"/>
  <c r="W19" i="19"/>
  <c r="W25" i="19" s="1"/>
  <c r="V27" i="19"/>
  <c r="V30" i="19" l="1"/>
  <c r="V33" i="19" s="1"/>
  <c r="Y10" i="19"/>
  <c r="X23" i="19"/>
  <c r="X19" i="19"/>
  <c r="X25" i="19" s="1"/>
  <c r="W27" i="19"/>
  <c r="W30" i="19" l="1"/>
  <c r="W33" i="19" s="1"/>
  <c r="X27" i="19"/>
  <c r="Y23" i="19"/>
  <c r="Y19" i="19"/>
  <c r="Y25" i="19" s="1"/>
  <c r="X30" i="19" l="1"/>
  <c r="X33" i="19" s="1"/>
  <c r="Y27" i="19"/>
  <c r="Y30" i="19" s="1"/>
  <c r="Z30" i="19" l="1"/>
  <c r="D27" i="8" s="1"/>
  <c r="Y33" i="19"/>
  <c r="D20" i="22" l="1"/>
  <c r="D24" i="22" s="1"/>
  <c r="D31" i="8"/>
  <c r="E35" i="22" l="1"/>
  <c r="F35" i="22" s="1"/>
  <c r="E36" i="22"/>
  <c r="F36" i="22" s="1"/>
  <c r="E34" i="22"/>
  <c r="F34" i="22" s="1"/>
  <c r="E39" i="22"/>
  <c r="F39" i="22" s="1"/>
  <c r="E37" i="22"/>
  <c r="F37" i="22" s="1"/>
  <c r="E38" i="22"/>
  <c r="F38" i="22" s="1"/>
  <c r="F24" i="22"/>
  <c r="G38" i="22" l="1"/>
  <c r="G37" i="22"/>
  <c r="G35" i="22"/>
  <c r="G34" i="22"/>
  <c r="G36" i="22"/>
  <c r="G39" i="22"/>
  <c r="G40" i="22" l="1"/>
</calcChain>
</file>

<file path=xl/sharedStrings.xml><?xml version="1.0" encoding="utf-8"?>
<sst xmlns="http://schemas.openxmlformats.org/spreadsheetml/2006/main" count="420" uniqueCount="208">
  <si>
    <t>BEGINNING BALANCE</t>
  </si>
  <si>
    <t xml:space="preserve"> </t>
  </si>
  <si>
    <t>OVER/(UNDER) COLLECTED</t>
  </si>
  <si>
    <t>INTEREST CALCULATION:</t>
  </si>
  <si>
    <t>PROGRAM COST EXPENDITURES</t>
  </si>
  <si>
    <t>TOTAL</t>
  </si>
  <si>
    <t>(Excl. SUT)</t>
  </si>
  <si>
    <t>RSG</t>
  </si>
  <si>
    <t>GSG</t>
  </si>
  <si>
    <t>LVG</t>
  </si>
  <si>
    <t>CIG</t>
  </si>
  <si>
    <t>SLG</t>
  </si>
  <si>
    <t>Loss Factor</t>
  </si>
  <si>
    <t>Secondary Service</t>
  </si>
  <si>
    <t>LPL Primary</t>
  </si>
  <si>
    <t>HTS Subtransmission</t>
  </si>
  <si>
    <t>HTS High Voltage</t>
  </si>
  <si>
    <t>GAS</t>
  </si>
  <si>
    <t>ELECTRIC</t>
  </si>
  <si>
    <t>Less:</t>
  </si>
  <si>
    <t>REVENUE RECOVERIES</t>
  </si>
  <si>
    <t>CUMULATIVE BALANCE</t>
  </si>
  <si>
    <t>PRIOR BALANCE</t>
  </si>
  <si>
    <t>CURRENT BALANCE</t>
  </si>
  <si>
    <t>(PRIOR BAL + CURRENT BAL)/2</t>
  </si>
  <si>
    <t>INTEREST RATE</t>
  </si>
  <si>
    <t>CUMULATIVE INTEREST</t>
  </si>
  <si>
    <t xml:space="preserve">MONTHLY INTEREST </t>
  </si>
  <si>
    <t>EXPENSE/(REVENUE)</t>
  </si>
  <si>
    <t>GAS RAC INTEREST CALCULATION</t>
  </si>
  <si>
    <t>ELECTRIC RAC INTEREST CALCULATION</t>
  </si>
  <si>
    <t>Leases/Rents</t>
  </si>
  <si>
    <t>Third Party Settlements</t>
  </si>
  <si>
    <t xml:space="preserve">* - Miscellaneous Recoveries </t>
  </si>
  <si>
    <t>Insurance Recovery</t>
  </si>
  <si>
    <t>** - NRD Exp./Insurance</t>
  </si>
  <si>
    <t xml:space="preserve">Misc. (e.g., scrap credit) </t>
  </si>
  <si>
    <t>RAC #19</t>
  </si>
  <si>
    <t xml:space="preserve">Invoice Discount </t>
  </si>
  <si>
    <t>Attachment A-2</t>
  </si>
  <si>
    <t>Attachment A-4</t>
  </si>
  <si>
    <t>Attachment A-5</t>
  </si>
  <si>
    <t>Page 1 of 4</t>
  </si>
  <si>
    <t>Page 2 of 4</t>
  </si>
  <si>
    <t>Page 4 of 4</t>
  </si>
  <si>
    <t>Page 3 of 4</t>
  </si>
  <si>
    <t>Gas Recoveries*</t>
  </si>
  <si>
    <t>GAS*</t>
  </si>
  <si>
    <t>Electric Recoveries**</t>
  </si>
  <si>
    <t>ELECTRIC**</t>
  </si>
  <si>
    <t>RAC #20</t>
  </si>
  <si>
    <t>Attachment A-3</t>
  </si>
  <si>
    <t>.</t>
  </si>
  <si>
    <t>(A)</t>
  </si>
  <si>
    <t>(B)</t>
  </si>
  <si>
    <t>Page 1 of 2</t>
  </si>
  <si>
    <t>ELECTRIC AND GAS ALLOCATION DETAILS</t>
  </si>
  <si>
    <t>Total</t>
  </si>
  <si>
    <t>Gas</t>
  </si>
  <si>
    <t>Electric</t>
  </si>
  <si>
    <t>Allocation % between Gas &amp; Electric Customers</t>
  </si>
  <si>
    <t>ADD:</t>
  </si>
  <si>
    <t xml:space="preserve">Total Gas and Electric </t>
  </si>
  <si>
    <t>Annual Amortization of Prior RAC Period Costs  (seven years)</t>
  </si>
  <si>
    <t>COSTS ELIGIBLE FOR AMORTIZATION &amp; RECOVERY OVER 7 YEARS:</t>
  </si>
  <si>
    <t>ANNUAL RECOVERY SUMMARY:</t>
  </si>
  <si>
    <t>I.  OVERALL ALLOCATION BETWEEN GAS &amp; ELECTRIC CUSTOMERS:</t>
  </si>
  <si>
    <t>Note 1:  Allocation of 60% of costs to Gas customers and 40% to Electric customers was determined per BPU Order dated November 4, 1994, Dkt. ER91111698J</t>
  </si>
  <si>
    <t>II.  ALLOCATION TO  GAS CUSTOMER CLASSES:</t>
  </si>
  <si>
    <t>TSG-F, NF</t>
  </si>
  <si>
    <t>$/ Therm</t>
  </si>
  <si>
    <t>Recovery</t>
  </si>
  <si>
    <t>$000</t>
  </si>
  <si>
    <t>III.  ALLOCATION TO  ELECTRIC CUSTOMER CLASSES:</t>
  </si>
  <si>
    <t>Amount To Be Recovered, ($000)</t>
  </si>
  <si>
    <t>KWH  (000)</t>
  </si>
  <si>
    <t>$/000</t>
  </si>
  <si>
    <t xml:space="preserve">Rate </t>
  </si>
  <si>
    <t xml:space="preserve">Customer Classes:  </t>
  </si>
  <si>
    <t>Electric RAC</t>
  </si>
  <si>
    <t>$/ KWH</t>
  </si>
  <si>
    <t>Page 2 of 2</t>
  </si>
  <si>
    <t>See Note 1, below</t>
  </si>
  <si>
    <t>$ 000</t>
  </si>
  <si>
    <t>Therm Sales (000)</t>
  </si>
  <si>
    <t>Details below</t>
  </si>
  <si>
    <t>To Attachment A-2, pg 1 &amp; pg 2</t>
  </si>
  <si>
    <t>N/A</t>
  </si>
  <si>
    <t>Net Expenditures allocated to Gas &amp; Electric and included in Attachment A-4, pages 1 and 2</t>
  </si>
  <si>
    <r>
      <rPr>
        <b/>
        <sz val="14"/>
        <rFont val="TimesNewRomanPS"/>
      </rPr>
      <t>(B)</t>
    </r>
    <r>
      <rPr>
        <sz val="14"/>
        <rFont val="TimesNewRomanPS"/>
      </rPr>
      <t xml:space="preserve"> / 7</t>
    </r>
  </si>
  <si>
    <r>
      <rPr>
        <b/>
        <sz val="12"/>
        <rFont val="Times New Roman"/>
        <family val="1"/>
      </rPr>
      <t>(A)</t>
    </r>
    <r>
      <rPr>
        <sz val="12"/>
        <rFont val="Times New Roman"/>
        <family val="1"/>
      </rPr>
      <t xml:space="preserve"> X 60%</t>
    </r>
  </si>
  <si>
    <r>
      <rPr>
        <b/>
        <sz val="12"/>
        <rFont val="Times New Roman"/>
        <family val="1"/>
      </rPr>
      <t>(A)</t>
    </r>
    <r>
      <rPr>
        <sz val="12"/>
        <rFont val="Times New Roman"/>
        <family val="1"/>
      </rPr>
      <t xml:space="preserve"> X 40%</t>
    </r>
  </si>
  <si>
    <t>From Attachment A-5, pg 2 of 4</t>
  </si>
  <si>
    <t>From Attachment A-5, pg 4 of 4</t>
  </si>
  <si>
    <t>Workpaper Reference</t>
  </si>
  <si>
    <t>From Attachment  A-2,  pg 1</t>
  </si>
  <si>
    <t>(A) + (B)</t>
  </si>
  <si>
    <t xml:space="preserve">                             Total NRD Expense/Insurance</t>
  </si>
  <si>
    <t xml:space="preserve">                               Total Miscellaneous Recoveries</t>
  </si>
  <si>
    <t>Cumulative balance plus cumulative interest</t>
  </si>
  <si>
    <t>Agrees to Attachment A-3, pg 1</t>
  </si>
  <si>
    <t>Agrees to Attachment A-4, pg 1 "Total" column</t>
  </si>
  <si>
    <t>Agrees to Attachment A-4, pg 2 "Total" column</t>
  </si>
  <si>
    <t xml:space="preserve">Agrees to Attachment A-2, pg 1 </t>
  </si>
  <si>
    <t>Gross Expenditures</t>
  </si>
  <si>
    <r>
      <t>Miscellaneous Recoveries</t>
    </r>
    <r>
      <rPr>
        <b/>
        <sz val="13"/>
        <rFont val="Arial"/>
        <family val="2"/>
      </rPr>
      <t>*</t>
    </r>
  </si>
  <si>
    <t>Expenditures Eligible for Insurance</t>
  </si>
  <si>
    <t>Insurance Recoveries &amp; NRD Exp.**</t>
  </si>
  <si>
    <t>Net Expenditures***</t>
  </si>
  <si>
    <t>Electric Allocation @ 40%</t>
  </si>
  <si>
    <t>Gas  allocation @  60%</t>
  </si>
  <si>
    <t>RAC #21</t>
  </si>
  <si>
    <t xml:space="preserve">PROGRAM COST EXPENDITURES </t>
  </si>
  <si>
    <t>Expenditures Eligible for Recovery</t>
  </si>
  <si>
    <t>From Prior yr. Approved RAC filings</t>
  </si>
  <si>
    <t>From Attachment A-3, pg. 1</t>
  </si>
  <si>
    <r>
      <t xml:space="preserve">From Prior yr. Approved RAC filings  =  </t>
    </r>
    <r>
      <rPr>
        <b/>
        <sz val="14"/>
        <rFont val="TimesNewRomanPS"/>
      </rPr>
      <t>(A)</t>
    </r>
    <r>
      <rPr>
        <sz val="14"/>
        <rFont val="TimesNewRomanPS"/>
      </rPr>
      <t xml:space="preserve"> / 7</t>
    </r>
  </si>
  <si>
    <t>To Attachment A-2 pg. 2</t>
  </si>
  <si>
    <t>* NET represents "Net of Insurance Recoveries, Miscellaneous Recoveries and NRD"</t>
  </si>
  <si>
    <t>Property Tax Credits</t>
  </si>
  <si>
    <t>From Attachment A-3, pg. 2</t>
  </si>
  <si>
    <t>From Attachment A-5, pg.  2</t>
  </si>
  <si>
    <t>From Attachment A-5, pg. 4</t>
  </si>
  <si>
    <t>Total (Over)/under-recovered</t>
  </si>
  <si>
    <t>Agrees to Attachment A-2, pg 1</t>
  </si>
  <si>
    <t>From Attachment A-3, pg 2</t>
  </si>
  <si>
    <t>RAC #22</t>
  </si>
  <si>
    <t xml:space="preserve">        cumulative interest</t>
  </si>
  <si>
    <t>Numbers may not add due to rounding</t>
  </si>
  <si>
    <t>RAC #23</t>
  </si>
  <si>
    <t xml:space="preserve">Month 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</si>
  <si>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</si>
  <si>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</si>
  <si>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</si>
  <si>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</si>
  <si>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</si>
  <si>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</si>
  <si>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</si>
  <si>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</si>
  <si>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</si>
  <si>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</si>
  <si>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</si>
  <si>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Year</t>
  </si>
  <si>
    <t>Actual / Forecast</t>
  </si>
  <si>
    <t>actual</t>
  </si>
  <si>
    <t>Tab</t>
  </si>
  <si>
    <t xml:space="preserve">Tab </t>
  </si>
  <si>
    <t>April</t>
  </si>
  <si>
    <t>TAX RATE</t>
  </si>
  <si>
    <t>Heading</t>
  </si>
  <si>
    <t>Beginning Balance</t>
  </si>
  <si>
    <t>Revenues</t>
  </si>
  <si>
    <t>Expenses</t>
  </si>
  <si>
    <t>A-4 GAS (PAGE 1)</t>
  </si>
  <si>
    <t>A-4 ELECTRIC (PAGE 2)</t>
  </si>
  <si>
    <t>A-5-GAS (PAGE 1-2)</t>
  </si>
  <si>
    <t>A-5-Electric (PAGE 3-4)</t>
  </si>
  <si>
    <t>A-3 (PAGE 2)</t>
  </si>
  <si>
    <t xml:space="preserve">                                 RAC RECOVERIES   </t>
  </si>
  <si>
    <t>NRD from RAC Period (Interest Only)</t>
  </si>
  <si>
    <t>Total Reductions Applied to RAC Expenditures</t>
  </si>
  <si>
    <t>*** The total of this column is net expenditures less deferred RAC period NRD-related MGP costs</t>
  </si>
  <si>
    <t>electric</t>
  </si>
  <si>
    <t>gas</t>
  </si>
  <si>
    <t>A-3 (PAGE 1)</t>
  </si>
  <si>
    <t>Deferred NRD Expense</t>
  </si>
  <si>
    <t>Insurance Recoveries</t>
  </si>
  <si>
    <t>A-2 (PAGE 2)</t>
  </si>
  <si>
    <t>Allocation to Gas Customers</t>
  </si>
  <si>
    <t>Allocation  to Electric Customers</t>
  </si>
  <si>
    <t>SubHeading</t>
  </si>
  <si>
    <t>kwh generated</t>
  </si>
  <si>
    <t>A-2 (PAGE 1)</t>
  </si>
  <si>
    <t>Sale of Property</t>
  </si>
  <si>
    <t>Annual Amortization (seven years)</t>
  </si>
  <si>
    <t>RAC #24</t>
  </si>
  <si>
    <t>From RAC 23 filing</t>
  </si>
  <si>
    <t>Trust Fund Release</t>
  </si>
  <si>
    <t xml:space="preserve">NRD </t>
  </si>
  <si>
    <t>GENERAL INFORMATION</t>
  </si>
  <si>
    <t xml:space="preserve"> from Tariff (SBC page)</t>
  </si>
  <si>
    <t>PSE&amp;G Inputs to RAC 25  Filing</t>
  </si>
  <si>
    <t>MANUFACTURED GAS PLANT REMEDIATION (RAC 25) CARRYING CHARGES</t>
  </si>
  <si>
    <t xml:space="preserve">MANUFACTURED GAS PLANT REMEDIATION (RAC 25) </t>
  </si>
  <si>
    <t>MANUFACTURED GAS PLANT REMEDIATION (RAC 25)</t>
  </si>
  <si>
    <t xml:space="preserve">TRUE-UP OF RAC 24 </t>
  </si>
  <si>
    <t>RAC 25 EXPENDITURES</t>
  </si>
  <si>
    <t xml:space="preserve"> RAC 19 through  25 Expenditures for Allocation between Gas &amp; Electric</t>
  </si>
  <si>
    <t xml:space="preserve"> True up of RAC 24 Expenditures with RAC Recoveries - GAS</t>
  </si>
  <si>
    <t xml:space="preserve"> True up of RAC 24 Expenditures with RAC Recoveries - ELEC</t>
  </si>
  <si>
    <t>Projected kWh Purchased July 2018 to June 2019</t>
  </si>
  <si>
    <t>REMEDIATION PROGRAM COSTS - RAC 25</t>
  </si>
  <si>
    <t>RAC #25</t>
  </si>
  <si>
    <t>Prior RAC Periods #19 - #24 - Actual Approved Expenditures , Net*</t>
  </si>
  <si>
    <t>RAC 25 Period - Actual Expenditures, Net*</t>
  </si>
  <si>
    <t>RAC 25 SUMMARY SCHEDULE</t>
  </si>
  <si>
    <t>FOR THE ANNUAL RAC PERIOD ENDED JULY 31, 2017</t>
  </si>
  <si>
    <t>Cumulative Interest (Carrying Charges) on Gas Deferred   Balances  Aug-17 to Jun-19 per Dkt. No. ER02080604</t>
  </si>
  <si>
    <t>Cumulative Interest (Carrying Charges) on Electric Deferred Balances  Aug-17 to Jun-19 per DKT No. ER020080604</t>
  </si>
  <si>
    <t>7/18-6/19</t>
  </si>
  <si>
    <t>Chuck's interst rate email in support folder</t>
  </si>
  <si>
    <t>from RAC 24 filing A-2 page 2</t>
  </si>
  <si>
    <t xml:space="preserve">from RAC 24 filing A-2 page 2 </t>
  </si>
  <si>
    <t>AUGUST 2015 THROUGH JULY 2016</t>
  </si>
  <si>
    <t>SUT</t>
  </si>
  <si>
    <t xml:space="preserve">TOTAL - RAC 25 ANNUAL RECOVERY, PERIOD TO DATE </t>
  </si>
  <si>
    <t>(Incl. SUT)</t>
  </si>
  <si>
    <t>Tax rate effective Jan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</si>
</sst>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_)"/>
    <numFmt numFmtId="166" formatCode="0.0000%"/>
    <numFmt numFmtId="167" formatCode="_(* #,##0_);_(* \(#,##0\);_(* &quot;-&quot;??_);_(@_)"/>
    <numFmt numFmtId="168" formatCode="[$-409]mmm\-yy;@"/>
    <numFmt numFmtId="169" formatCode="&quot;$&quot;#,##0"/>
    <numFmt numFmtId="170" formatCode="0.000000"/>
    <numFmt numFmtId="171" formatCode="#,##0;\(#,##0\)"/>
    <numFmt numFmtId="172" formatCode="mm/dd/yy;@"/>
    <numFmt numFmtId="173" formatCode="&quot;$&quot;#,##0.000000_);\(&quot;$&quot;#,##0.000000\)"/>
    <numFmt numFmtId="174" formatCode="&quot;$&quot;#,##0.0000_);\(&quot;$&quot;#,##0.0000\)"/>
    <numFmt numFmtId="175" formatCode="0.000%"/>
  </numFmts>
  <fonts count="9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color indexed="8"/>
      <name val="Arial"/>
      <family val="2"/>
    </font>
    <font>
      <b/>
      <sz val="13"/>
      <color indexed="8"/>
      <name val="TimesNewRomanPS"/>
    </font>
    <font>
      <b/>
      <sz val="12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NewRomanPS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TimesNewRomanPS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4"/>
      <color indexed="18"/>
      <name val="Times New Roman"/>
      <family val="1"/>
    </font>
    <font>
      <sz val="15"/>
      <name val="Arial"/>
      <family val="2"/>
    </font>
    <font>
      <b/>
      <sz val="13"/>
      <color indexed="18"/>
      <name val="TimesNewRomanPS"/>
    </font>
    <font>
      <b/>
      <u/>
      <sz val="14"/>
      <color indexed="8"/>
      <name val="TimesNewRomanPS"/>
    </font>
    <font>
      <b/>
      <u/>
      <sz val="13"/>
      <color indexed="8"/>
      <name val="TimesNewRomanPS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sz val="13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3"/>
      <name val="Arial"/>
      <family val="2"/>
    </font>
    <font>
      <sz val="13"/>
      <name val="Arial MT"/>
    </font>
    <font>
      <b/>
      <sz val="13"/>
      <name val="Arial MT"/>
    </font>
    <font>
      <b/>
      <sz val="13"/>
      <name val="Arial"/>
      <family val="2"/>
    </font>
    <font>
      <sz val="10"/>
      <name val="Arial"/>
      <family val="2"/>
    </font>
    <font>
      <i/>
      <u/>
      <sz val="13"/>
      <name val="Arial"/>
      <family val="2"/>
    </font>
    <font>
      <b/>
      <sz val="13"/>
      <name val="Arial"/>
      <family val="2"/>
    </font>
    <font>
      <sz val="11"/>
      <name val="Arial MT"/>
    </font>
    <font>
      <b/>
      <i/>
      <sz val="13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name val="Arial MT"/>
    </font>
    <font>
      <sz val="18"/>
      <name val="Arial Rounded MT Bold"/>
      <family val="2"/>
    </font>
    <font>
      <u/>
      <sz val="18"/>
      <name val="Arial Rounded MT Bold"/>
      <family val="2"/>
    </font>
    <font>
      <sz val="13"/>
      <color indexed="10"/>
      <name val="Arial"/>
      <family val="2"/>
    </font>
    <font>
      <u/>
      <sz val="13"/>
      <name val="Arial"/>
      <family val="2"/>
    </font>
    <font>
      <u val="doubleAccounting"/>
      <sz val="13"/>
      <name val="Arial"/>
      <family val="2"/>
    </font>
    <font>
      <u/>
      <sz val="16"/>
      <name val="Arial Rounded MT Bold"/>
      <family val="2"/>
    </font>
    <font>
      <b/>
      <sz val="14"/>
      <name val="TimesNewRomanPS"/>
    </font>
    <font>
      <sz val="14"/>
      <color indexed="8"/>
      <name val="Arial"/>
      <family val="2"/>
    </font>
    <font>
      <sz val="14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NewRomanPS"/>
    </font>
    <font>
      <sz val="14"/>
      <color indexed="8"/>
      <name val="TimesNewRomanPS"/>
    </font>
    <font>
      <sz val="14"/>
      <color indexed="18"/>
      <name val="TimesNewRomanPS"/>
    </font>
    <font>
      <sz val="14"/>
      <color indexed="18"/>
      <name val="Arial"/>
      <family val="2"/>
    </font>
    <font>
      <i/>
      <sz val="14"/>
      <name val="TimesNewRomanPS"/>
    </font>
    <font>
      <b/>
      <i/>
      <sz val="12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u/>
      <sz val="10"/>
      <name val="Arial"/>
      <family val="2"/>
    </font>
    <font>
      <sz val="10"/>
      <name val="TimesNewRomanPS"/>
    </font>
    <font>
      <b/>
      <i/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6"/>
      <name val="Arial Rounded MT Bold"/>
      <family val="2"/>
    </font>
    <font>
      <sz val="10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2"/>
      <color rgb="FF0070C0"/>
      <name val="Times New Roman"/>
      <family val="1"/>
    </font>
    <font>
      <sz val="14"/>
      <color rgb="FF0070C0"/>
      <name val="Arial"/>
      <family val="2"/>
    </font>
    <font>
      <sz val="10"/>
      <color theme="4"/>
      <name val="Arial"/>
      <family val="2"/>
    </font>
    <font>
      <sz val="10"/>
      <color theme="3"/>
      <name val="Arial"/>
      <family val="2"/>
    </font>
    <font>
      <u/>
      <sz val="18"/>
      <color theme="4"/>
      <name val="Arial Rounded MT Bold"/>
      <family val="2"/>
    </font>
    <font>
      <sz val="10"/>
      <color rgb="FF00B0F0"/>
      <name val="Arial"/>
      <family val="2"/>
    </font>
    <font>
      <b/>
      <sz val="10"/>
      <color theme="4"/>
      <name val="Arial"/>
      <family val="2"/>
    </font>
    <font>
      <b/>
      <sz val="14"/>
      <color theme="4"/>
      <name val="Arial"/>
      <family val="2"/>
    </font>
    <font>
      <b/>
      <u/>
      <sz val="14"/>
      <color theme="4"/>
      <name val="Arial"/>
      <family val="2"/>
    </font>
    <font>
      <sz val="13"/>
      <color theme="4"/>
      <name val="Arial"/>
      <family val="2"/>
    </font>
    <font>
      <b/>
      <u/>
      <sz val="18"/>
      <color theme="4"/>
      <name val="Arial MT"/>
    </font>
    <font>
      <sz val="13"/>
      <color theme="4"/>
      <name val="Arial MT"/>
    </font>
    <font>
      <b/>
      <sz val="13"/>
      <color theme="4"/>
      <name val="Arial MT"/>
    </font>
    <font>
      <b/>
      <u/>
      <sz val="14"/>
      <color theme="4"/>
      <name val="Times New Roman"/>
      <family val="1"/>
    </font>
    <font>
      <b/>
      <sz val="14"/>
      <color theme="4"/>
      <name val="Times New Roman"/>
      <family val="1"/>
    </font>
    <font>
      <sz val="12"/>
      <color theme="4"/>
      <name val="Times New Roman"/>
      <family val="1"/>
    </font>
    <font>
      <sz val="11"/>
      <color theme="4"/>
      <name val="Times New Roman"/>
      <family val="1"/>
    </font>
    <font>
      <b/>
      <u/>
      <sz val="18"/>
      <color theme="4"/>
      <name val="Arial"/>
      <family val="2"/>
    </font>
    <font>
      <sz val="14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 applyProtection="0">
      <alignment readingOrder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0" borderId="0" applyProtection="0">
      <alignment readingOrder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0">
    <xf numFmtId="0" fontId="0" fillId="0" borderId="0" xfId="0">
      <alignment readingOrder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7" fontId="12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5" fontId="7" fillId="0" borderId="0" xfId="0" applyNumberFormat="1" applyFont="1" applyFill="1" applyAlignment="1" applyProtection="1">
      <alignment vertical="center"/>
    </xf>
    <xf numFmtId="0" fontId="18" fillId="0" borderId="0" xfId="0" applyFont="1" applyFill="1">
      <alignment readingOrder="1"/>
    </xf>
    <xf numFmtId="0" fontId="7" fillId="0" borderId="0" xfId="0" applyFont="1" applyFill="1" applyAlignment="1" applyProtection="1">
      <alignment horizontal="center" vertical="center"/>
    </xf>
    <xf numFmtId="168" fontId="26" fillId="0" borderId="0" xfId="0" applyNumberFormat="1" applyFont="1" applyFill="1" applyAlignment="1">
      <alignment horizontal="center"/>
    </xf>
    <xf numFmtId="0" fontId="26" fillId="0" borderId="0" xfId="0" applyFont="1" applyFill="1">
      <alignment readingOrder="1"/>
    </xf>
    <xf numFmtId="42" fontId="26" fillId="0" borderId="0" xfId="2" applyNumberFormat="1" applyFont="1" applyFill="1"/>
    <xf numFmtId="0" fontId="26" fillId="0" borderId="0" xfId="0" applyFont="1" applyFill="1" applyAlignment="1">
      <alignment horizontal="left"/>
    </xf>
    <xf numFmtId="0" fontId="1" fillId="0" borderId="0" xfId="0" applyFont="1" applyFill="1">
      <alignment readingOrder="1"/>
    </xf>
    <xf numFmtId="0" fontId="2" fillId="0" borderId="0" xfId="0" applyFont="1" applyFill="1" applyAlignment="1">
      <alignment horizontal="left"/>
    </xf>
    <xf numFmtId="10" fontId="26" fillId="0" borderId="0" xfId="4" applyNumberFormat="1" applyFont="1" applyFill="1"/>
    <xf numFmtId="168" fontId="30" fillId="0" borderId="0" xfId="0" applyNumberFormat="1" applyFont="1" applyFill="1" applyAlignment="1">
      <alignment horizontal="center"/>
    </xf>
    <xf numFmtId="42" fontId="30" fillId="0" borderId="0" xfId="2" applyNumberFormat="1" applyFont="1" applyFill="1"/>
    <xf numFmtId="10" fontId="30" fillId="0" borderId="0" xfId="4" applyNumberFormat="1" applyFont="1" applyFill="1"/>
    <xf numFmtId="17" fontId="26" fillId="0" borderId="0" xfId="0" applyNumberFormat="1" applyFont="1" applyFill="1">
      <alignment readingOrder="1"/>
    </xf>
    <xf numFmtId="0" fontId="17" fillId="0" borderId="0" xfId="0" applyFont="1" applyFill="1" applyAlignment="1" applyProtection="1">
      <alignment vertical="center"/>
    </xf>
    <xf numFmtId="42" fontId="1" fillId="0" borderId="0" xfId="0" applyNumberFormat="1" applyFont="1" applyFill="1">
      <alignment readingOrder="1"/>
    </xf>
    <xf numFmtId="0" fontId="0" fillId="0" borderId="0" xfId="0" applyFill="1">
      <alignment readingOrder="1"/>
    </xf>
    <xf numFmtId="164" fontId="27" fillId="0" borderId="0" xfId="2" applyNumberFormat="1" applyFont="1" applyFill="1"/>
    <xf numFmtId="164" fontId="28" fillId="0" borderId="0" xfId="2" applyNumberFormat="1" applyFont="1" applyFill="1"/>
    <xf numFmtId="0" fontId="19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165" fontId="5" fillId="0" borderId="0" xfId="0" applyNumberFormat="1" applyFont="1" applyFill="1" applyAlignment="1" applyProtection="1">
      <alignment vertical="center"/>
    </xf>
    <xf numFmtId="0" fontId="38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32" fillId="0" borderId="0" xfId="0" applyFont="1" applyFill="1">
      <alignment readingOrder="1"/>
    </xf>
    <xf numFmtId="164" fontId="0" fillId="0" borderId="0" xfId="0" applyNumberFormat="1" applyFill="1">
      <alignment readingOrder="1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readingOrder="1"/>
    </xf>
    <xf numFmtId="0" fontId="14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0" fillId="0" borderId="0" xfId="0" applyFill="1" applyProtection="1">
      <alignment readingOrder="1"/>
    </xf>
    <xf numFmtId="44" fontId="0" fillId="0" borderId="0" xfId="0" applyNumberFormat="1" applyFill="1">
      <alignment readingOrder="1"/>
    </xf>
    <xf numFmtId="0" fontId="2" fillId="0" borderId="0" xfId="0" applyFont="1" applyFill="1">
      <alignment readingOrder="1"/>
    </xf>
    <xf numFmtId="0" fontId="1" fillId="0" borderId="0" xfId="0" quotePrefix="1" applyFont="1" applyFill="1" applyAlignment="1">
      <alignment horizontal="right"/>
    </xf>
    <xf numFmtId="164" fontId="1" fillId="0" borderId="0" xfId="0" quotePrefix="1" applyNumberFormat="1" applyFont="1" applyFill="1" applyAlignment="1">
      <alignment horizontal="right"/>
    </xf>
    <xf numFmtId="0" fontId="31" fillId="0" borderId="0" xfId="0" applyFont="1" applyFill="1">
      <alignment readingOrder="1"/>
    </xf>
    <xf numFmtId="0" fontId="32" fillId="0" borderId="0" xfId="0" applyFont="1" applyFill="1" applyAlignment="1">
      <alignment horizontal="centerContinuous"/>
    </xf>
    <xf numFmtId="0" fontId="34" fillId="0" borderId="0" xfId="0" applyFont="1" applyFill="1">
      <alignment readingOrder="1"/>
    </xf>
    <xf numFmtId="0" fontId="31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6" fontId="31" fillId="0" borderId="0" xfId="0" applyNumberFormat="1" applyFont="1" applyFill="1" applyAlignment="1">
      <alignment horizontal="center"/>
    </xf>
    <xf numFmtId="3" fontId="31" fillId="0" borderId="0" xfId="0" applyNumberFormat="1" applyFont="1" applyFill="1" applyAlignment="1">
      <alignment horizontal="right"/>
    </xf>
    <xf numFmtId="3" fontId="31" fillId="0" borderId="0" xfId="1" applyNumberFormat="1" applyFont="1" applyFill="1" applyAlignment="1">
      <alignment horizontal="right"/>
    </xf>
    <xf numFmtId="3" fontId="32" fillId="0" borderId="0" xfId="1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67" fontId="31" fillId="0" borderId="0" xfId="1" applyNumberFormat="1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6" fontId="31" fillId="0" borderId="0" xfId="0" applyNumberFormat="1" applyFont="1" applyFill="1" applyAlignment="1">
      <alignment horizontal="left"/>
    </xf>
    <xf numFmtId="42" fontId="30" fillId="0" borderId="0" xfId="0" applyNumberFormat="1" applyFont="1" applyFill="1">
      <alignment readingOrder="1"/>
    </xf>
    <xf numFmtId="5" fontId="26" fillId="0" borderId="0" xfId="0" applyNumberFormat="1" applyFont="1" applyFill="1">
      <alignment readingOrder="1"/>
    </xf>
    <xf numFmtId="42" fontId="35" fillId="0" borderId="0" xfId="0" applyNumberFormat="1" applyFont="1" applyFill="1">
      <alignment readingOrder="1"/>
    </xf>
    <xf numFmtId="42" fontId="29" fillId="0" borderId="0" xfId="0" applyNumberFormat="1" applyFont="1" applyFill="1">
      <alignment readingOrder="1"/>
    </xf>
    <xf numFmtId="42" fontId="29" fillId="0" borderId="0" xfId="2" applyNumberFormat="1" applyFont="1" applyFill="1"/>
    <xf numFmtId="42" fontId="0" fillId="0" borderId="0" xfId="0" applyNumberFormat="1" applyFill="1">
      <alignment readingOrder="1"/>
    </xf>
    <xf numFmtId="5" fontId="1" fillId="0" borderId="0" xfId="0" applyNumberFormat="1" applyFont="1" applyFill="1">
      <alignment readingOrder="1"/>
    </xf>
    <xf numFmtId="5" fontId="26" fillId="0" borderId="0" xfId="0" quotePrefix="1" applyNumberFormat="1" applyFont="1" applyFill="1" applyAlignment="1">
      <alignment horizontal="left"/>
    </xf>
    <xf numFmtId="44" fontId="1" fillId="0" borderId="0" xfId="0" applyNumberFormat="1" applyFont="1" applyFill="1">
      <alignment readingOrder="1"/>
    </xf>
    <xf numFmtId="0" fontId="35" fillId="0" borderId="0" xfId="0" applyFont="1" applyFill="1">
      <alignment readingOrder="1"/>
    </xf>
    <xf numFmtId="0" fontId="29" fillId="0" borderId="0" xfId="0" applyFont="1" applyFill="1">
      <alignment readingOrder="1"/>
    </xf>
    <xf numFmtId="0" fontId="1" fillId="0" borderId="0" xfId="0" quotePrefix="1" applyFont="1" applyFill="1" applyAlignment="1">
      <alignment horizontal="left"/>
    </xf>
    <xf numFmtId="42" fontId="25" fillId="0" borderId="0" xfId="0" applyNumberFormat="1" applyFont="1" applyFill="1">
      <alignment readingOrder="1"/>
    </xf>
    <xf numFmtId="0" fontId="24" fillId="0" borderId="0" xfId="0" applyFont="1" applyFill="1" applyAlignment="1">
      <alignment horizontal="center"/>
    </xf>
    <xf numFmtId="0" fontId="11" fillId="0" borderId="0" xfId="0" applyFont="1" applyFill="1">
      <alignment readingOrder="1"/>
    </xf>
    <xf numFmtId="0" fontId="42" fillId="0" borderId="0" xfId="0" applyFont="1" applyFill="1">
      <alignment readingOrder="1"/>
    </xf>
    <xf numFmtId="0" fontId="37" fillId="0" borderId="0" xfId="0" applyFont="1" applyFill="1">
      <alignment readingOrder="1"/>
    </xf>
    <xf numFmtId="0" fontId="46" fillId="0" borderId="0" xfId="0" applyFont="1" applyFill="1" applyAlignment="1">
      <alignment readingOrder="1"/>
    </xf>
    <xf numFmtId="0" fontId="37" fillId="0" borderId="3" xfId="0" applyFont="1" applyFill="1" applyBorder="1" applyAlignment="1">
      <alignment horizontal="center"/>
    </xf>
    <xf numFmtId="5" fontId="35" fillId="0" borderId="0" xfId="0" applyNumberFormat="1" applyFont="1" applyFill="1">
      <alignment readingOrder="1"/>
    </xf>
    <xf numFmtId="5" fontId="29" fillId="0" borderId="0" xfId="0" applyNumberFormat="1" applyFont="1" applyFill="1">
      <alignment readingOrder="1"/>
    </xf>
    <xf numFmtId="0" fontId="32" fillId="0" borderId="0" xfId="0" applyFont="1" applyFill="1" applyAlignment="1">
      <alignment horizontal="right" readingOrder="1"/>
    </xf>
    <xf numFmtId="5" fontId="35" fillId="0" borderId="0" xfId="2" applyNumberFormat="1" applyFont="1" applyFill="1"/>
    <xf numFmtId="5" fontId="2" fillId="0" borderId="0" xfId="2" applyNumberFormat="1" applyFont="1" applyFill="1"/>
    <xf numFmtId="0" fontId="44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vertical="center"/>
    </xf>
    <xf numFmtId="0" fontId="5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0" fillId="0" borderId="0" xfId="0" applyFill="1" applyAlignment="1"/>
    <xf numFmtId="5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52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>
      <alignment readingOrder="1"/>
    </xf>
    <xf numFmtId="0" fontId="8" fillId="0" borderId="0" xfId="0" applyFont="1" applyFill="1" applyAlignment="1" applyProtection="1">
      <alignment horizontal="center"/>
    </xf>
    <xf numFmtId="0" fontId="23" fillId="0" borderId="4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vertical="center"/>
    </xf>
    <xf numFmtId="5" fontId="11" fillId="0" borderId="0" xfId="0" applyNumberFormat="1" applyFont="1" applyFill="1" applyBorder="1" applyAlignment="1" applyProtection="1">
      <alignment vertical="center"/>
      <protection locked="0"/>
    </xf>
    <xf numFmtId="0" fontId="51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5" fontId="53" fillId="0" borderId="0" xfId="0" applyNumberFormat="1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57" fillId="0" borderId="8" xfId="0" applyFont="1" applyFill="1" applyBorder="1" applyAlignment="1" applyProtection="1">
      <alignment horizontal="center" vertical="center"/>
    </xf>
    <xf numFmtId="5" fontId="53" fillId="0" borderId="8" xfId="0" applyNumberFormat="1" applyFont="1" applyFill="1" applyBorder="1" applyAlignment="1" applyProtection="1">
      <alignment vertical="center"/>
    </xf>
    <xf numFmtId="5" fontId="53" fillId="0" borderId="8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Alignment="1" applyProtection="1">
      <alignment vertical="center"/>
    </xf>
    <xf numFmtId="0" fontId="57" fillId="0" borderId="0" xfId="0" applyFont="1" applyFill="1" applyAlignment="1" applyProtection="1">
      <alignment horizontal="center" vertical="center" wrapText="1"/>
    </xf>
    <xf numFmtId="5" fontId="53" fillId="0" borderId="0" xfId="0" applyNumberFormat="1" applyFont="1" applyFill="1" applyAlignment="1" applyProtection="1">
      <alignment vertical="center"/>
    </xf>
    <xf numFmtId="5" fontId="52" fillId="0" borderId="0" xfId="0" applyNumberFormat="1" applyFont="1" applyFill="1" applyAlignment="1" applyProtection="1">
      <alignment vertical="center"/>
    </xf>
    <xf numFmtId="0" fontId="41" fillId="0" borderId="0" xfId="0" applyFont="1" applyFill="1">
      <alignment readingOrder="1"/>
    </xf>
    <xf numFmtId="0" fontId="59" fillId="0" borderId="0" xfId="0" applyFont="1" applyFill="1" applyAlignment="1" applyProtection="1">
      <alignment vertical="center"/>
    </xf>
    <xf numFmtId="0" fontId="60" fillId="0" borderId="0" xfId="0" applyFont="1" applyFill="1" applyAlignment="1" applyProtection="1">
      <alignment vertical="center"/>
    </xf>
    <xf numFmtId="0" fontId="57" fillId="0" borderId="0" xfId="0" applyFont="1" applyFill="1" applyAlignment="1" applyProtection="1">
      <alignment horizontal="center" vertical="center"/>
    </xf>
    <xf numFmtId="0" fontId="57" fillId="0" borderId="0" xfId="0" applyFont="1" applyFill="1" applyAlignment="1" applyProtection="1">
      <alignment vertical="center"/>
    </xf>
    <xf numFmtId="5" fontId="53" fillId="0" borderId="3" xfId="0" applyNumberFormat="1" applyFont="1" applyFill="1" applyBorder="1" applyAlignment="1" applyProtection="1">
      <alignment vertical="center"/>
    </xf>
    <xf numFmtId="0" fontId="53" fillId="0" borderId="0" xfId="0" applyFont="1" applyFill="1" applyAlignment="1" applyProtection="1">
      <alignment vertical="center" wrapText="1"/>
    </xf>
    <xf numFmtId="7" fontId="59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wrapText="1" readingOrder="1"/>
    </xf>
    <xf numFmtId="0" fontId="51" fillId="0" borderId="8" xfId="0" applyFont="1" applyFill="1" applyBorder="1" applyAlignment="1" applyProtection="1">
      <alignment vertical="center"/>
    </xf>
    <xf numFmtId="0" fontId="61" fillId="0" borderId="0" xfId="0" applyFont="1" applyFill="1" applyAlignment="1" applyProtection="1">
      <alignment horizontal="left" vertical="center"/>
    </xf>
    <xf numFmtId="5" fontId="11" fillId="0" borderId="0" xfId="0" applyNumberFormat="1" applyFont="1" applyFill="1" applyAlignment="1" applyProtection="1">
      <alignment vertical="center"/>
    </xf>
    <xf numFmtId="5" fontId="11" fillId="0" borderId="2" xfId="0" applyNumberFormat="1" applyFont="1" applyFill="1" applyBorder="1" applyAlignment="1" applyProtection="1">
      <alignment vertical="center"/>
    </xf>
    <xf numFmtId="0" fontId="33" fillId="0" borderId="0" xfId="0" applyFont="1" applyFill="1">
      <alignment readingOrder="1"/>
    </xf>
    <xf numFmtId="0" fontId="33" fillId="0" borderId="0" xfId="0" applyFont="1" applyFill="1" applyAlignment="1">
      <alignment horizontal="right"/>
    </xf>
    <xf numFmtId="0" fontId="50" fillId="0" borderId="0" xfId="0" applyFont="1" applyFill="1" applyAlignment="1">
      <alignment horizontal="centerContinuous" readingOrder="1"/>
    </xf>
    <xf numFmtId="0" fontId="33" fillId="0" borderId="3" xfId="0" applyFont="1" applyFill="1" applyBorder="1" applyAlignment="1">
      <alignment horizontal="center" wrapText="1"/>
    </xf>
    <xf numFmtId="0" fontId="1" fillId="0" borderId="9" xfId="0" applyFont="1" applyFill="1" applyBorder="1">
      <alignment readingOrder="1"/>
    </xf>
    <xf numFmtId="42" fontId="1" fillId="0" borderId="10" xfId="0" applyNumberFormat="1" applyFont="1" applyFill="1" applyBorder="1">
      <alignment readingOrder="1"/>
    </xf>
    <xf numFmtId="0" fontId="24" fillId="0" borderId="0" xfId="0" applyFont="1" applyFill="1" applyAlignment="1">
      <alignment horizontal="center" vertical="top" wrapText="1" readingOrder="1"/>
    </xf>
    <xf numFmtId="0" fontId="37" fillId="0" borderId="3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 readingOrder="1"/>
    </xf>
    <xf numFmtId="9" fontId="37" fillId="0" borderId="3" xfId="0" applyNumberFormat="1" applyFont="1" applyFill="1" applyBorder="1" applyAlignment="1">
      <alignment horizontal="center" wrapText="1" readingOrder="1"/>
    </xf>
    <xf numFmtId="44" fontId="41" fillId="0" borderId="0" xfId="0" applyNumberFormat="1" applyFont="1" applyFill="1">
      <alignment readingOrder="1"/>
    </xf>
    <xf numFmtId="5" fontId="41" fillId="0" borderId="0" xfId="0" applyNumberFormat="1" applyFont="1" applyFill="1" applyAlignment="1">
      <alignment horizontal="center" vertical="top" wrapText="1" readingOrder="1"/>
    </xf>
    <xf numFmtId="5" fontId="26" fillId="0" borderId="0" xfId="2" applyNumberFormat="1" applyFont="1" applyFill="1"/>
    <xf numFmtId="5" fontId="1" fillId="0" borderId="0" xfId="2" applyNumberFormat="1" applyFont="1" applyFill="1"/>
    <xf numFmtId="5" fontId="40" fillId="0" borderId="0" xfId="2" applyNumberFormat="1" applyFont="1" applyFill="1"/>
    <xf numFmtId="0" fontId="2" fillId="0" borderId="0" xfId="0" applyFont="1" applyFill="1" applyBorder="1">
      <alignment readingOrder="1"/>
    </xf>
    <xf numFmtId="0" fontId="0" fillId="0" borderId="0" xfId="0" applyFont="1" applyFill="1">
      <alignment readingOrder="1"/>
    </xf>
    <xf numFmtId="44" fontId="35" fillId="0" borderId="0" xfId="0" applyNumberFormat="1" applyFont="1" applyFill="1">
      <alignment readingOrder="1"/>
    </xf>
    <xf numFmtId="164" fontId="2" fillId="0" borderId="0" xfId="0" applyNumberFormat="1" applyFont="1" applyFill="1"/>
    <xf numFmtId="5" fontId="71" fillId="0" borderId="0" xfId="0" applyNumberFormat="1" applyFont="1" applyFill="1"/>
    <xf numFmtId="5" fontId="71" fillId="0" borderId="0" xfId="2" applyNumberFormat="1" applyFont="1" applyFill="1"/>
    <xf numFmtId="5" fontId="2" fillId="0" borderId="0" xfId="0" applyNumberFormat="1" applyFont="1" applyFill="1">
      <alignment readingOrder="1"/>
    </xf>
    <xf numFmtId="5" fontId="35" fillId="0" borderId="0" xfId="0" applyNumberFormat="1" applyFont="1" applyFill="1"/>
    <xf numFmtId="5" fontId="29" fillId="0" borderId="0" xfId="2" applyNumberFormat="1" applyFont="1" applyFill="1"/>
    <xf numFmtId="0" fontId="24" fillId="0" borderId="0" xfId="0" applyFont="1" applyFill="1" applyAlignment="1">
      <alignment horizontal="left"/>
    </xf>
    <xf numFmtId="0" fontId="10" fillId="0" borderId="0" xfId="0" applyFont="1" applyFill="1" applyAlignment="1" applyProtection="1">
      <alignment horizontal="center" vertical="center"/>
    </xf>
    <xf numFmtId="0" fontId="6" fillId="0" borderId="11" xfId="0" applyFont="1" applyFill="1" applyBorder="1">
      <alignment readingOrder="1"/>
    </xf>
    <xf numFmtId="0" fontId="23" fillId="0" borderId="12" xfId="0" applyFont="1" applyFill="1" applyBorder="1">
      <alignment readingOrder="1"/>
    </xf>
    <xf numFmtId="0" fontId="23" fillId="0" borderId="0" xfId="0" applyFont="1" applyFill="1" applyAlignment="1">
      <alignment readingOrder="1"/>
    </xf>
    <xf numFmtId="9" fontId="56" fillId="0" borderId="0" xfId="0" applyNumberFormat="1" applyFont="1" applyFill="1" applyAlignment="1">
      <alignment horizontal="center" readingOrder="1"/>
    </xf>
    <xf numFmtId="0" fontId="23" fillId="0" borderId="4" xfId="0" applyFont="1" applyFill="1" applyBorder="1">
      <alignment readingOrder="1"/>
    </xf>
    <xf numFmtId="5" fontId="6" fillId="0" borderId="4" xfId="0" applyNumberFormat="1" applyFont="1" applyFill="1" applyBorder="1">
      <alignment readingOrder="1"/>
    </xf>
    <xf numFmtId="0" fontId="23" fillId="0" borderId="0" xfId="0" applyFont="1" applyFill="1" applyAlignment="1">
      <alignment horizontal="center" readingOrder="1"/>
    </xf>
    <xf numFmtId="5" fontId="23" fillId="0" borderId="0" xfId="0" applyNumberFormat="1" applyFont="1" applyFill="1">
      <alignment readingOrder="1"/>
    </xf>
    <xf numFmtId="0" fontId="23" fillId="0" borderId="0" xfId="0" applyFont="1" applyFill="1" applyAlignment="1">
      <alignment horizontal="left" readingOrder="1"/>
    </xf>
    <xf numFmtId="0" fontId="6" fillId="0" borderId="0" xfId="0" applyFont="1" applyFill="1">
      <alignment readingOrder="1"/>
    </xf>
    <xf numFmtId="5" fontId="6" fillId="0" borderId="1" xfId="0" applyNumberFormat="1" applyFont="1" applyFill="1" applyBorder="1">
      <alignment readingOrder="1"/>
    </xf>
    <xf numFmtId="5" fontId="6" fillId="0" borderId="2" xfId="0" applyNumberFormat="1" applyFont="1" applyFill="1" applyBorder="1">
      <alignment readingOrder="1"/>
    </xf>
    <xf numFmtId="0" fontId="62" fillId="0" borderId="0" xfId="0" applyFont="1" applyFill="1">
      <alignment readingOrder="1"/>
    </xf>
    <xf numFmtId="0" fontId="56" fillId="0" borderId="0" xfId="0" applyFont="1" applyFill="1">
      <alignment readingOrder="1"/>
    </xf>
    <xf numFmtId="0" fontId="62" fillId="0" borderId="0" xfId="0" applyFont="1" applyFill="1" applyAlignment="1">
      <alignment wrapText="1" readingOrder="1"/>
    </xf>
    <xf numFmtId="0" fontId="6" fillId="0" borderId="0" xfId="0" applyFont="1" applyFill="1" applyBorder="1">
      <alignment readingOrder="1"/>
    </xf>
    <xf numFmtId="0" fontId="23" fillId="0" borderId="0" xfId="0" applyFont="1" applyFill="1" applyBorder="1">
      <alignment readingOrder="1"/>
    </xf>
    <xf numFmtId="6" fontId="23" fillId="0" borderId="0" xfId="0" quotePrefix="1" applyNumberFormat="1" applyFont="1" applyFill="1" applyAlignment="1">
      <alignment horizontal="center" readingOrder="1"/>
    </xf>
    <xf numFmtId="0" fontId="63" fillId="0" borderId="3" xfId="0" applyFont="1" applyFill="1" applyBorder="1" applyAlignment="1">
      <alignment horizontal="center" readingOrder="1"/>
    </xf>
    <xf numFmtId="0" fontId="23" fillId="0" borderId="3" xfId="0" applyFont="1" applyFill="1" applyBorder="1" applyAlignment="1">
      <alignment horizontal="center" readingOrder="1"/>
    </xf>
    <xf numFmtId="0" fontId="23" fillId="0" borderId="0" xfId="0" applyFont="1" applyFill="1" applyAlignment="1">
      <alignment horizontal="right" readingOrder="1"/>
    </xf>
    <xf numFmtId="170" fontId="23" fillId="0" borderId="0" xfId="0" applyNumberFormat="1" applyFont="1" applyFill="1">
      <alignment readingOrder="1"/>
    </xf>
    <xf numFmtId="41" fontId="23" fillId="0" borderId="1" xfId="0" applyNumberFormat="1" applyFont="1" applyFill="1" applyBorder="1">
      <alignment readingOrder="1"/>
    </xf>
    <xf numFmtId="5" fontId="23" fillId="0" borderId="1" xfId="0" applyNumberFormat="1" applyFont="1" applyFill="1" applyBorder="1">
      <alignment readingOrder="1"/>
    </xf>
    <xf numFmtId="0" fontId="6" fillId="0" borderId="13" xfId="0" applyFont="1" applyFill="1" applyBorder="1">
      <alignment readingOrder="1"/>
    </xf>
    <xf numFmtId="0" fontId="68" fillId="0" borderId="0" xfId="0" applyFont="1" applyFill="1">
      <alignment readingOrder="1"/>
    </xf>
    <xf numFmtId="6" fontId="23" fillId="0" borderId="0" xfId="0" quotePrefix="1" applyNumberFormat="1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1"/>
    </xf>
    <xf numFmtId="41" fontId="23" fillId="0" borderId="0" xfId="0" applyNumberFormat="1" applyFont="1" applyFill="1" applyBorder="1">
      <alignment readingOrder="1"/>
    </xf>
    <xf numFmtId="0" fontId="24" fillId="0" borderId="0" xfId="0" applyFont="1" applyFill="1" applyAlignment="1">
      <alignment horizontal="center" wrapText="1" readingOrder="1"/>
    </xf>
    <xf numFmtId="0" fontId="16" fillId="0" borderId="0" xfId="0" quotePrefix="1" applyFont="1" applyFill="1">
      <alignment readingOrder="1"/>
    </xf>
    <xf numFmtId="0" fontId="0" fillId="0" borderId="0" xfId="0" quotePrefix="1" applyFill="1" applyAlignment="1">
      <alignment horizontal="center"/>
    </xf>
    <xf numFmtId="43" fontId="0" fillId="0" borderId="0" xfId="0" applyNumberFormat="1" applyFill="1">
      <alignment readingOrder="1"/>
    </xf>
    <xf numFmtId="0" fontId="34" fillId="0" borderId="0" xfId="0" applyFont="1" applyFill="1" applyAlignment="1">
      <alignment horizontal="right" readingOrder="1"/>
    </xf>
    <xf numFmtId="0" fontId="50" fillId="0" borderId="0" xfId="0" applyFont="1" applyFill="1" applyAlignment="1">
      <alignment horizontal="center" readingOrder="1"/>
    </xf>
    <xf numFmtId="0" fontId="24" fillId="0" borderId="0" xfId="0" applyFont="1" applyFill="1" applyBorder="1" applyAlignment="1">
      <alignment horizontal="left"/>
    </xf>
    <xf numFmtId="0" fontId="50" fillId="0" borderId="0" xfId="0" applyFont="1" applyFill="1" applyAlignment="1">
      <alignment readingOrder="1"/>
    </xf>
    <xf numFmtId="5" fontId="53" fillId="0" borderId="15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>
      <alignment readingOrder="1"/>
    </xf>
    <xf numFmtId="0" fontId="35" fillId="0" borderId="21" xfId="0" applyFont="1" applyFill="1" applyBorder="1">
      <alignment readingOrder="1"/>
    </xf>
    <xf numFmtId="0" fontId="35" fillId="0" borderId="0" xfId="0" applyFont="1" applyFill="1" applyBorder="1">
      <alignment readingOrder="1"/>
    </xf>
    <xf numFmtId="0" fontId="1" fillId="0" borderId="0" xfId="0" applyFont="1" applyFill="1" applyBorder="1">
      <alignment readingOrder="1"/>
    </xf>
    <xf numFmtId="7" fontId="0" fillId="0" borderId="0" xfId="0" applyNumberFormat="1" applyFill="1">
      <alignment readingOrder="1"/>
    </xf>
    <xf numFmtId="164" fontId="31" fillId="0" borderId="0" xfId="0" applyNumberFormat="1" applyFont="1" applyFill="1">
      <alignment readingOrder="1"/>
    </xf>
    <xf numFmtId="0" fontId="64" fillId="0" borderId="0" xfId="0" applyFont="1" applyFill="1" applyAlignment="1">
      <alignment horizontal="center" readingOrder="1"/>
    </xf>
    <xf numFmtId="0" fontId="31" fillId="0" borderId="0" xfId="0" applyFont="1" applyFill="1" applyAlignment="1">
      <alignment horizontal="left"/>
    </xf>
    <xf numFmtId="0" fontId="46" fillId="0" borderId="0" xfId="0" applyFont="1" applyFill="1" applyAlignment="1">
      <alignment horizontal="center" readingOrder="1"/>
    </xf>
    <xf numFmtId="0" fontId="72" fillId="0" borderId="0" xfId="0" applyFont="1" applyFill="1" applyAlignment="1">
      <alignment horizontal="center" readingOrder="1"/>
    </xf>
    <xf numFmtId="0" fontId="37" fillId="0" borderId="0" xfId="0" applyFont="1" applyFill="1" applyAlignment="1">
      <alignment horizontal="right" readingOrder="1"/>
    </xf>
    <xf numFmtId="0" fontId="74" fillId="0" borderId="0" xfId="0" applyFont="1" applyFill="1" applyAlignment="1" applyProtection="1">
      <alignment vertical="center"/>
    </xf>
    <xf numFmtId="0" fontId="75" fillId="0" borderId="0" xfId="0" applyFont="1" applyFill="1" applyAlignment="1" applyProtection="1">
      <alignment vertical="center"/>
    </xf>
    <xf numFmtId="10" fontId="76" fillId="0" borderId="0" xfId="4" applyNumberFormat="1" applyFont="1" applyFill="1"/>
    <xf numFmtId="5" fontId="76" fillId="0" borderId="0" xfId="0" applyNumberFormat="1" applyFont="1" applyFill="1">
      <alignment readingOrder="1"/>
    </xf>
    <xf numFmtId="5" fontId="77" fillId="0" borderId="0" xfId="0" applyNumberFormat="1" applyFont="1" applyFill="1">
      <alignment readingOrder="1"/>
    </xf>
    <xf numFmtId="41" fontId="78" fillId="0" borderId="0" xfId="0" applyNumberFormat="1" applyFont="1" applyFill="1">
      <alignment readingOrder="1"/>
    </xf>
    <xf numFmtId="41" fontId="78" fillId="0" borderId="0" xfId="3" applyNumberFormat="1" applyFont="1" applyFill="1">
      <alignment readingOrder="1"/>
    </xf>
    <xf numFmtId="166" fontId="78" fillId="0" borderId="0" xfId="0" applyNumberFormat="1" applyFont="1" applyFill="1">
      <alignment readingOrder="1"/>
    </xf>
    <xf numFmtId="0" fontId="0" fillId="0" borderId="0" xfId="0"/>
    <xf numFmtId="0" fontId="2" fillId="0" borderId="0" xfId="0" applyFont="1"/>
    <xf numFmtId="0" fontId="8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0" fontId="81" fillId="0" borderId="0" xfId="0" applyFont="1" applyFill="1"/>
    <xf numFmtId="0" fontId="81" fillId="0" borderId="0" xfId="0" applyFont="1" applyFill="1" applyAlignment="1">
      <alignment horizontal="center"/>
    </xf>
    <xf numFmtId="37" fontId="81" fillId="0" borderId="0" xfId="0" applyNumberFormat="1" applyFont="1" applyFill="1"/>
    <xf numFmtId="171" fontId="81" fillId="0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7" fontId="81" fillId="0" borderId="0" xfId="0" applyNumberFormat="1" applyFont="1" applyFill="1" applyBorder="1"/>
    <xf numFmtId="169" fontId="81" fillId="0" borderId="0" xfId="0" applyNumberFormat="1" applyFont="1" applyFill="1" applyBorder="1"/>
    <xf numFmtId="5" fontId="81" fillId="0" borderId="0" xfId="1" applyNumberFormat="1" applyFont="1" applyFill="1"/>
    <xf numFmtId="172" fontId="1" fillId="0" borderId="0" xfId="0" applyNumberFormat="1" applyFont="1" applyFill="1"/>
    <xf numFmtId="10" fontId="0" fillId="0" borderId="0" xfId="0" applyNumberFormat="1" applyBorder="1"/>
    <xf numFmtId="10" fontId="81" fillId="0" borderId="0" xfId="0" applyNumberFormat="1" applyFont="1" applyFill="1"/>
    <xf numFmtId="10" fontId="81" fillId="0" borderId="0" xfId="5" applyNumberFormat="1" applyFont="1" applyFill="1" applyBorder="1"/>
    <xf numFmtId="10" fontId="1" fillId="0" borderId="0" xfId="4" applyNumberFormat="1" applyFont="1"/>
    <xf numFmtId="10" fontId="1" fillId="0" borderId="0" xfId="0" applyNumberFormat="1" applyFont="1" applyFill="1"/>
    <xf numFmtId="0" fontId="81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/>
    </xf>
    <xf numFmtId="173" fontId="81" fillId="0" borderId="0" xfId="0" applyNumberFormat="1" applyFont="1" applyFill="1" applyBorder="1"/>
    <xf numFmtId="174" fontId="81" fillId="0" borderId="0" xfId="0" applyNumberFormat="1" applyFont="1" applyFill="1" applyBorder="1"/>
    <xf numFmtId="9" fontId="0" fillId="0" borderId="0" xfId="4" applyFont="1"/>
    <xf numFmtId="0" fontId="0" fillId="0" borderId="0" xfId="0" applyFill="1" applyAlignment="1">
      <alignment horizontal="left"/>
    </xf>
    <xf numFmtId="10" fontId="81" fillId="0" borderId="0" xfId="0" applyNumberFormat="1" applyFont="1" applyFill="1" applyBorder="1"/>
    <xf numFmtId="0" fontId="2" fillId="0" borderId="0" xfId="0" applyFont="1" applyFill="1"/>
    <xf numFmtId="0" fontId="31" fillId="0" borderId="0" xfId="0" applyFont="1" applyFill="1" applyAlignment="1">
      <alignment horizontal="left"/>
    </xf>
    <xf numFmtId="0" fontId="83" fillId="0" borderId="0" xfId="0" applyFont="1" applyFill="1">
      <alignment readingOrder="1"/>
    </xf>
    <xf numFmtId="168" fontId="2" fillId="0" borderId="0" xfId="0" applyNumberFormat="1" applyFont="1" applyFill="1" applyAlignment="1">
      <alignment horizontal="center"/>
    </xf>
    <xf numFmtId="168" fontId="84" fillId="0" borderId="0" xfId="0" applyNumberFormat="1" applyFont="1" applyFill="1" applyAlignment="1">
      <alignment horizontal="center"/>
    </xf>
    <xf numFmtId="10" fontId="84" fillId="0" borderId="0" xfId="4" applyNumberFormat="1" applyFont="1" applyFill="1"/>
    <xf numFmtId="0" fontId="80" fillId="0" borderId="0" xfId="0" applyFont="1" applyFill="1">
      <alignment readingOrder="1"/>
    </xf>
    <xf numFmtId="17" fontId="84" fillId="0" borderId="0" xfId="0" applyNumberFormat="1" applyFont="1" applyFill="1">
      <alignment readingOrder="1"/>
    </xf>
    <xf numFmtId="5" fontId="0" fillId="0" borderId="0" xfId="0" applyNumberFormat="1"/>
    <xf numFmtId="5" fontId="76" fillId="0" borderId="0" xfId="2" applyNumberFormat="1" applyFont="1" applyFill="1"/>
    <xf numFmtId="5" fontId="27" fillId="0" borderId="0" xfId="2" applyNumberFormat="1" applyFont="1" applyFill="1"/>
    <xf numFmtId="5" fontId="28" fillId="0" borderId="0" xfId="2" applyNumberFormat="1" applyFont="1" applyFill="1"/>
    <xf numFmtId="5" fontId="84" fillId="0" borderId="0" xfId="2" applyNumberFormat="1" applyFont="1" applyFill="1"/>
    <xf numFmtId="5" fontId="1" fillId="0" borderId="9" xfId="0" applyNumberFormat="1" applyFont="1" applyFill="1" applyBorder="1">
      <alignment readingOrder="1"/>
    </xf>
    <xf numFmtId="5" fontId="1" fillId="0" borderId="10" xfId="0" applyNumberFormat="1" applyFont="1" applyFill="1" applyBorder="1">
      <alignment readingOrder="1"/>
    </xf>
    <xf numFmtId="5" fontId="84" fillId="0" borderId="0" xfId="0" applyNumberFormat="1" applyFont="1" applyFill="1">
      <alignment readingOrder="1"/>
    </xf>
    <xf numFmtId="5" fontId="0" fillId="0" borderId="0" xfId="0" applyNumberFormat="1" applyFill="1">
      <alignment readingOrder="1"/>
    </xf>
    <xf numFmtId="5" fontId="2" fillId="0" borderId="0" xfId="0" applyNumberFormat="1" applyFont="1" applyFill="1" applyAlignment="1">
      <alignment horizontal="left"/>
    </xf>
    <xf numFmtId="5" fontId="35" fillId="0" borderId="0" xfId="0" applyNumberFormat="1" applyFont="1" applyFill="1" applyAlignment="1">
      <alignment horizontal="center" vertical="top" wrapText="1" readingOrder="1"/>
    </xf>
    <xf numFmtId="5" fontId="1" fillId="0" borderId="0" xfId="0" applyNumberFormat="1" applyFont="1" applyFill="1"/>
    <xf numFmtId="5" fontId="1" fillId="0" borderId="0" xfId="1" applyNumberFormat="1" applyFont="1" applyFill="1">
      <alignment readingOrder="1"/>
    </xf>
    <xf numFmtId="5" fontId="41" fillId="0" borderId="0" xfId="0" applyNumberFormat="1" applyFont="1" applyFill="1">
      <alignment readingOrder="1"/>
    </xf>
    <xf numFmtId="10" fontId="2" fillId="0" borderId="0" xfId="0" applyNumberFormat="1" applyFont="1" applyFill="1" applyAlignment="1">
      <alignment horizontal="left"/>
    </xf>
    <xf numFmtId="5" fontId="70" fillId="0" borderId="0" xfId="2" applyNumberFormat="1" applyFont="1" applyFill="1"/>
    <xf numFmtId="0" fontId="88" fillId="0" borderId="0" xfId="0" applyFont="1" applyFill="1" applyAlignment="1">
      <alignment horizontal="center"/>
    </xf>
    <xf numFmtId="0" fontId="8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164" fontId="71" fillId="0" borderId="0" xfId="2" applyNumberFormat="1" applyFont="1" applyFill="1"/>
    <xf numFmtId="5" fontId="80" fillId="0" borderId="0" xfId="0" applyNumberFormat="1" applyFont="1" applyBorder="1"/>
    <xf numFmtId="17" fontId="33" fillId="0" borderId="0" xfId="0" applyNumberFormat="1" applyFont="1" applyFill="1" applyAlignment="1">
      <alignment horizontal="left" vertical="center" wrapText="1"/>
    </xf>
    <xf numFmtId="17" fontId="90" fillId="0" borderId="0" xfId="0" applyNumberFormat="1" applyFont="1" applyFill="1" applyAlignment="1">
      <alignment horizontal="center"/>
    </xf>
    <xf numFmtId="0" fontId="92" fillId="0" borderId="0" xfId="0" applyFont="1" applyFill="1" applyAlignment="1">
      <alignment horizontal="center" wrapText="1" readingOrder="1"/>
    </xf>
    <xf numFmtId="0" fontId="93" fillId="0" borderId="0" xfId="0" applyFont="1" applyFill="1">
      <alignment readingOrder="1"/>
    </xf>
    <xf numFmtId="0" fontId="93" fillId="0" borderId="19" xfId="0" applyFont="1" applyFill="1" applyBorder="1" applyAlignment="1" applyProtection="1">
      <alignment wrapText="1"/>
    </xf>
    <xf numFmtId="0" fontId="93" fillId="0" borderId="0" xfId="0" applyFont="1" applyFill="1" applyAlignment="1">
      <alignment wrapText="1" readingOrder="1"/>
    </xf>
    <xf numFmtId="0" fontId="94" fillId="0" borderId="0" xfId="0" applyFont="1" applyFill="1" applyAlignment="1">
      <alignment horizontal="center" readingOrder="1"/>
    </xf>
    <xf numFmtId="0" fontId="20" fillId="0" borderId="0" xfId="0" applyFont="1" applyFill="1" applyAlignment="1" applyProtection="1">
      <alignment horizontal="center" vertical="center"/>
    </xf>
    <xf numFmtId="0" fontId="0" fillId="0" borderId="7" xfId="0" applyFill="1" applyBorder="1">
      <alignment readingOrder="1"/>
    </xf>
    <xf numFmtId="0" fontId="9" fillId="0" borderId="23" xfId="0" applyFont="1" applyFill="1" applyBorder="1" applyAlignment="1" applyProtection="1">
      <alignment vertical="center"/>
    </xf>
    <xf numFmtId="5" fontId="79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0" fontId="86" fillId="0" borderId="0" xfId="0" applyFont="1" applyFill="1" applyAlignment="1">
      <alignment horizontal="center" vertical="center"/>
    </xf>
    <xf numFmtId="10" fontId="86" fillId="0" borderId="0" xfId="0" applyNumberFormat="1" applyFont="1" applyFill="1" applyAlignment="1">
      <alignment horizontal="center" vertical="center"/>
    </xf>
    <xf numFmtId="5" fontId="79" fillId="0" borderId="8" xfId="0" applyNumberFormat="1" applyFont="1" applyFill="1" applyBorder="1" applyAlignment="1" applyProtection="1">
      <alignment vertical="center"/>
    </xf>
    <xf numFmtId="5" fontId="87" fillId="0" borderId="0" xfId="0" applyNumberFormat="1" applyFont="1" applyFill="1" applyAlignment="1">
      <alignment horizontal="center"/>
    </xf>
    <xf numFmtId="0" fontId="80" fillId="0" borderId="0" xfId="0" applyFont="1"/>
    <xf numFmtId="5" fontId="79" fillId="0" borderId="16" xfId="0" applyNumberFormat="1" applyFont="1" applyFill="1" applyBorder="1" applyAlignment="1" applyProtection="1">
      <alignment vertical="center"/>
    </xf>
    <xf numFmtId="5" fontId="32" fillId="0" borderId="0" xfId="2" applyNumberFormat="1" applyFont="1" applyFill="1"/>
    <xf numFmtId="5" fontId="89" fillId="0" borderId="0" xfId="2" applyNumberFormat="1" applyFont="1" applyFill="1" applyAlignment="1">
      <alignment horizontal="right"/>
    </xf>
    <xf numFmtId="5" fontId="32" fillId="0" borderId="0" xfId="2" applyNumberFormat="1" applyFont="1" applyFill="1" applyAlignment="1">
      <alignment horizontal="right"/>
    </xf>
    <xf numFmtId="5" fontId="89" fillId="0" borderId="0" xfId="2" quotePrefix="1" applyNumberFormat="1" applyFont="1" applyFill="1" applyBorder="1"/>
    <xf numFmtId="5" fontId="24" fillId="0" borderId="0" xfId="0" applyNumberFormat="1" applyFont="1" applyFill="1" applyAlignment="1">
      <alignment horizontal="center"/>
    </xf>
    <xf numFmtId="5" fontId="32" fillId="0" borderId="3" xfId="2" applyNumberFormat="1" applyFont="1" applyFill="1" applyBorder="1"/>
    <xf numFmtId="5" fontId="24" fillId="0" borderId="0" xfId="0" applyNumberFormat="1" applyFont="1" applyFill="1" applyAlignment="1">
      <alignment horizontal="center" readingOrder="1"/>
    </xf>
    <xf numFmtId="5" fontId="33" fillId="0" borderId="1" xfId="2" applyNumberFormat="1" applyFont="1" applyFill="1" applyBorder="1"/>
    <xf numFmtId="5" fontId="33" fillId="0" borderId="2" xfId="2" applyNumberFormat="1" applyFont="1" applyFill="1" applyBorder="1"/>
    <xf numFmtId="5" fontId="31" fillId="0" borderId="0" xfId="0" applyNumberFormat="1" applyFont="1" applyFill="1" applyAlignment="1">
      <alignment horizontal="center"/>
    </xf>
    <xf numFmtId="5" fontId="87" fillId="0" borderId="0" xfId="0" applyNumberFormat="1" applyFont="1" applyFill="1" applyAlignment="1">
      <alignment horizontal="right"/>
    </xf>
    <xf numFmtId="5" fontId="33" fillId="0" borderId="2" xfId="2" applyNumberFormat="1" applyFont="1" applyFill="1" applyBorder="1" applyAlignment="1">
      <alignment horizontal="right"/>
    </xf>
    <xf numFmtId="5" fontId="32" fillId="0" borderId="3" xfId="0" applyNumberFormat="1" applyFont="1" applyFill="1" applyBorder="1" applyAlignment="1">
      <alignment horizontal="right"/>
    </xf>
    <xf numFmtId="5" fontId="33" fillId="0" borderId="2" xfId="0" applyNumberFormat="1" applyFont="1" applyFill="1" applyBorder="1" applyAlignment="1">
      <alignment horizontal="right"/>
    </xf>
    <xf numFmtId="5" fontId="31" fillId="0" borderId="0" xfId="0" applyNumberFormat="1" applyFont="1" applyFill="1" applyAlignment="1">
      <alignment horizontal="right"/>
    </xf>
    <xf numFmtId="5" fontId="37" fillId="0" borderId="2" xfId="0" applyNumberFormat="1" applyFont="1" applyFill="1" applyBorder="1" applyAlignment="1">
      <alignment horizontal="right"/>
    </xf>
    <xf numFmtId="5" fontId="37" fillId="0" borderId="0" xfId="0" applyNumberFormat="1" applyFont="1" applyFill="1">
      <alignment readingOrder="1"/>
    </xf>
    <xf numFmtId="5" fontId="87" fillId="0" borderId="0" xfId="2" applyNumberFormat="1" applyFont="1" applyFill="1"/>
    <xf numFmtId="5" fontId="24" fillId="0" borderId="0" xfId="2" applyNumberFormat="1" applyFont="1" applyFill="1"/>
    <xf numFmtId="5" fontId="24" fillId="0" borderId="0" xfId="0" applyNumberFormat="1" applyFont="1" applyFill="1">
      <alignment readingOrder="1"/>
    </xf>
    <xf numFmtId="5" fontId="24" fillId="0" borderId="0" xfId="0" applyNumberFormat="1" applyFont="1" applyFill="1" applyBorder="1">
      <alignment readingOrder="1"/>
    </xf>
    <xf numFmtId="5" fontId="37" fillId="0" borderId="14" xfId="2" applyNumberFormat="1" applyFont="1" applyFill="1" applyBorder="1"/>
    <xf numFmtId="5" fontId="37" fillId="0" borderId="3" xfId="0" applyNumberFormat="1" applyFont="1" applyFill="1" applyBorder="1" applyAlignment="1">
      <alignment horizontal="center"/>
    </xf>
    <xf numFmtId="5" fontId="84" fillId="0" borderId="0" xfId="0" applyNumberFormat="1" applyFont="1" applyFill="1" applyAlignment="1">
      <alignment horizontal="right"/>
    </xf>
    <xf numFmtId="5" fontId="84" fillId="0" borderId="0" xfId="0" applyNumberFormat="1" applyFont="1" applyFill="1" applyAlignment="1">
      <alignment horizontal="center"/>
    </xf>
    <xf numFmtId="5" fontId="24" fillId="0" borderId="0" xfId="0" applyNumberFormat="1" applyFont="1" applyFill="1" applyAlignment="1">
      <alignment horizontal="right"/>
    </xf>
    <xf numFmtId="5" fontId="24" fillId="0" borderId="0" xfId="0" applyNumberFormat="1" applyFont="1" applyFill="1" applyBorder="1" applyAlignment="1">
      <alignment horizontal="right"/>
    </xf>
    <xf numFmtId="5" fontId="47" fillId="0" borderId="0" xfId="0" applyNumberFormat="1" applyFont="1" applyFill="1" applyBorder="1" applyAlignment="1">
      <alignment horizontal="right"/>
    </xf>
    <xf numFmtId="5" fontId="24" fillId="0" borderId="3" xfId="0" applyNumberFormat="1" applyFont="1" applyFill="1" applyBorder="1" applyAlignment="1">
      <alignment horizontal="right"/>
    </xf>
    <xf numFmtId="5" fontId="48" fillId="0" borderId="0" xfId="0" applyNumberFormat="1" applyFont="1" applyFill="1">
      <alignment readingOrder="1"/>
    </xf>
    <xf numFmtId="5" fontId="48" fillId="0" borderId="0" xfId="0" applyNumberFormat="1" applyFont="1" applyFill="1" applyBorder="1">
      <alignment readingOrder="1"/>
    </xf>
    <xf numFmtId="5" fontId="37" fillId="0" borderId="0" xfId="0" applyNumberFormat="1" applyFont="1" applyFill="1" applyAlignment="1">
      <alignment horizontal="center"/>
    </xf>
    <xf numFmtId="5" fontId="24" fillId="0" borderId="2" xfId="0" applyNumberFormat="1" applyFont="1" applyFill="1" applyBorder="1">
      <alignment readingOrder="1"/>
    </xf>
    <xf numFmtId="5" fontId="49" fillId="0" borderId="0" xfId="0" applyNumberFormat="1" applyFont="1" applyFill="1" applyBorder="1">
      <alignment readingOrder="1"/>
    </xf>
    <xf numFmtId="0" fontId="93" fillId="0" borderId="0" xfId="0" applyFont="1" applyFill="1" applyAlignment="1">
      <alignment horizontal="right" readingOrder="1"/>
    </xf>
    <xf numFmtId="0" fontId="96" fillId="0" borderId="18" xfId="0" applyFont="1" applyFill="1" applyBorder="1" applyAlignment="1" applyProtection="1">
      <alignment vertical="center"/>
    </xf>
    <xf numFmtId="0" fontId="96" fillId="0" borderId="17" xfId="0" applyFont="1" applyFill="1" applyBorder="1" applyAlignment="1" applyProtection="1">
      <alignment vertical="center"/>
    </xf>
    <xf numFmtId="5" fontId="59" fillId="0" borderId="0" xfId="0" applyNumberFormat="1" applyFont="1" applyFill="1" applyAlignment="1" applyProtection="1">
      <alignment vertical="center"/>
    </xf>
    <xf numFmtId="5" fontId="87" fillId="0" borderId="3" xfId="0" applyNumberFormat="1" applyFont="1" applyFill="1" applyBorder="1" applyAlignment="1">
      <alignment horizontal="right"/>
    </xf>
    <xf numFmtId="0" fontId="85" fillId="3" borderId="0" xfId="0" applyFont="1" applyFill="1" applyAlignment="1" applyProtection="1">
      <alignment vertical="center"/>
    </xf>
    <xf numFmtId="0" fontId="0" fillId="3" borderId="0" xfId="0" applyFill="1"/>
    <xf numFmtId="10" fontId="81" fillId="2" borderId="0" xfId="0" applyNumberFormat="1" applyFont="1" applyFill="1" applyBorder="1"/>
    <xf numFmtId="0" fontId="80" fillId="2" borderId="0" xfId="0" applyFont="1" applyFill="1" applyAlignment="1">
      <alignment horizontal="center"/>
    </xf>
    <xf numFmtId="5" fontId="80" fillId="2" borderId="0" xfId="0" applyNumberFormat="1" applyFont="1" applyFill="1" applyBorder="1"/>
    <xf numFmtId="10" fontId="80" fillId="4" borderId="0" xfId="0" applyNumberFormat="1" applyFont="1" applyFill="1" applyBorder="1"/>
    <xf numFmtId="166" fontId="80" fillId="0" borderId="0" xfId="0" applyNumberFormat="1" applyFont="1"/>
    <xf numFmtId="5" fontId="87" fillId="0" borderId="0" xfId="0" applyNumberFormat="1" applyFont="1" applyFill="1" applyBorder="1" applyAlignment="1">
      <alignment horizontal="right"/>
    </xf>
    <xf numFmtId="0" fontId="31" fillId="0" borderId="0" xfId="0" applyFont="1" applyFill="1" applyBorder="1">
      <alignment readingOrder="1"/>
    </xf>
    <xf numFmtId="5" fontId="80" fillId="0" borderId="0" xfId="0" applyNumberFormat="1" applyFont="1"/>
    <xf numFmtId="5" fontId="80" fillId="0" borderId="0" xfId="0" applyNumberFormat="1" applyFont="1" applyFill="1"/>
    <xf numFmtId="0" fontId="85" fillId="0" borderId="0" xfId="0" applyFont="1" applyFill="1" applyAlignment="1">
      <alignment horizontal="center"/>
    </xf>
    <xf numFmtId="0" fontId="82" fillId="0" borderId="0" xfId="0" applyFont="1" applyFill="1" applyAlignment="1">
      <alignment horizontal="center" readingOrder="1"/>
    </xf>
    <xf numFmtId="164" fontId="0" fillId="0" borderId="0" xfId="0" applyNumberFormat="1"/>
    <xf numFmtId="0" fontId="16" fillId="5" borderId="0" xfId="0" applyFont="1" applyFill="1"/>
    <xf numFmtId="0" fontId="0" fillId="5" borderId="0" xfId="0" applyFill="1"/>
    <xf numFmtId="0" fontId="80" fillId="5" borderId="0" xfId="0" applyFont="1" applyFill="1" applyAlignment="1">
      <alignment horizontal="center"/>
    </xf>
    <xf numFmtId="0" fontId="82" fillId="5" borderId="0" xfId="0" applyFont="1" applyFill="1" applyAlignment="1">
      <alignment readingOrder="1"/>
    </xf>
    <xf numFmtId="0" fontId="82" fillId="0" borderId="0" xfId="0" applyFont="1" applyFill="1" applyAlignment="1">
      <alignment readingOrder="1"/>
    </xf>
    <xf numFmtId="0" fontId="1" fillId="5" borderId="0" xfId="0" applyFont="1" applyFill="1"/>
    <xf numFmtId="169" fontId="81" fillId="5" borderId="0" xfId="0" applyNumberFormat="1" applyFont="1" applyFill="1" applyBorder="1"/>
    <xf numFmtId="0" fontId="2" fillId="5" borderId="0" xfId="0" applyFont="1" applyFill="1"/>
    <xf numFmtId="0" fontId="95" fillId="5" borderId="0" xfId="0" applyFont="1" applyFill="1" applyAlignment="1">
      <alignment horizontal="center" readingOrder="1"/>
    </xf>
    <xf numFmtId="0" fontId="86" fillId="5" borderId="0" xfId="0" applyFont="1" applyFill="1" applyAlignment="1">
      <alignment horizontal="center" vertical="center"/>
    </xf>
    <xf numFmtId="0" fontId="92" fillId="5" borderId="0" xfId="0" applyFont="1" applyFill="1" applyAlignment="1">
      <alignment horizontal="center" wrapText="1" readingOrder="1"/>
    </xf>
    <xf numFmtId="10" fontId="81" fillId="5" borderId="0" xfId="0" applyNumberFormat="1" applyFont="1" applyFill="1" applyBorder="1"/>
    <xf numFmtId="5" fontId="80" fillId="5" borderId="0" xfId="0" applyNumberFormat="1" applyFont="1" applyFill="1"/>
    <xf numFmtId="164" fontId="80" fillId="5" borderId="0" xfId="0" applyNumberFormat="1" applyFont="1" applyFill="1"/>
    <xf numFmtId="5" fontId="89" fillId="0" borderId="3" xfId="2" quotePrefix="1" applyNumberFormat="1" applyFont="1" applyFill="1" applyBorder="1"/>
    <xf numFmtId="0" fontId="24" fillId="0" borderId="0" xfId="0" applyFont="1" applyFill="1">
      <alignment readingOrder="1"/>
    </xf>
    <xf numFmtId="3" fontId="80" fillId="5" borderId="0" xfId="0" applyNumberFormat="1" applyFont="1" applyFill="1" applyAlignment="1">
      <alignment horizontal="right"/>
    </xf>
    <xf numFmtId="37" fontId="80" fillId="5" borderId="0" xfId="0" applyNumberFormat="1" applyFont="1" applyFill="1"/>
    <xf numFmtId="5" fontId="0" fillId="5" borderId="0" xfId="0" applyNumberFormat="1" applyFill="1"/>
    <xf numFmtId="0" fontId="23" fillId="0" borderId="0" xfId="0" applyFont="1" applyFill="1"/>
    <xf numFmtId="5" fontId="80" fillId="0" borderId="3" xfId="0" applyNumberFormat="1" applyFont="1" applyFill="1" applyBorder="1"/>
    <xf numFmtId="175" fontId="81" fillId="5" borderId="0" xfId="0" applyNumberFormat="1" applyFont="1" applyFill="1" applyBorder="1"/>
    <xf numFmtId="0" fontId="1" fillId="0" borderId="0" xfId="0" applyFont="1" applyBorder="1"/>
    <xf numFmtId="0" fontId="95" fillId="0" borderId="0" xfId="0" applyFont="1" applyFill="1" applyAlignment="1">
      <alignment horizontal="center" readingOrder="1"/>
    </xf>
    <xf numFmtId="0" fontId="43" fillId="0" borderId="0" xfId="0" quotePrefix="1" applyFont="1" applyFill="1" applyAlignment="1">
      <alignment horizontal="center" readingOrder="1"/>
    </xf>
    <xf numFmtId="0" fontId="43" fillId="0" borderId="0" xfId="0" applyFont="1" applyFill="1" applyAlignment="1">
      <alignment horizontal="center" readingOrder="1"/>
    </xf>
    <xf numFmtId="0" fontId="91" fillId="0" borderId="0" xfId="0" applyFont="1" applyFill="1" applyAlignment="1">
      <alignment horizontal="center" readingOrder="1"/>
    </xf>
    <xf numFmtId="0" fontId="54" fillId="0" borderId="0" xfId="0" applyFont="1" applyFill="1" applyAlignment="1">
      <alignment horizontal="center" readingOrder="1"/>
    </xf>
    <xf numFmtId="0" fontId="55" fillId="0" borderId="0" xfId="0" quotePrefix="1" applyFont="1" applyFill="1" applyAlignment="1">
      <alignment horizontal="center" readingOrder="1"/>
    </xf>
    <xf numFmtId="0" fontId="55" fillId="0" borderId="0" xfId="0" applyFont="1" applyFill="1" applyAlignment="1">
      <alignment horizontal="center" readingOrder="1"/>
    </xf>
    <xf numFmtId="0" fontId="64" fillId="0" borderId="0" xfId="0" applyFont="1" applyFill="1" applyAlignment="1">
      <alignment horizontal="center" readingOrder="1"/>
    </xf>
    <xf numFmtId="0" fontId="65" fillId="0" borderId="0" xfId="0" applyFont="1" applyFill="1" applyAlignment="1">
      <alignment horizontal="center" readingOrder="1"/>
    </xf>
    <xf numFmtId="0" fontId="3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 wrapText="1" readingOrder="1"/>
    </xf>
    <xf numFmtId="0" fontId="82" fillId="0" borderId="0" xfId="0" applyFont="1" applyFill="1" applyAlignment="1">
      <alignment horizontal="center" readingOrder="1"/>
    </xf>
    <xf numFmtId="0" fontId="46" fillId="0" borderId="0" xfId="0" applyFont="1" applyFill="1" applyAlignment="1">
      <alignment horizontal="center" readingOrder="1"/>
    </xf>
    <xf numFmtId="0" fontId="35" fillId="0" borderId="22" xfId="0" applyFont="1" applyFill="1" applyBorder="1" applyAlignment="1">
      <alignment horizontal="right" vertical="top" wrapText="1" readingOrder="1"/>
    </xf>
    <xf numFmtId="0" fontId="0" fillId="0" borderId="16" xfId="0" applyFill="1" applyBorder="1" applyAlignment="1">
      <alignment horizontal="right" wrapText="1" readingOrder="1"/>
    </xf>
    <xf numFmtId="5" fontId="34" fillId="0" borderId="0" xfId="0" applyNumberFormat="1" applyFont="1" applyFill="1" applyAlignment="1">
      <alignment horizontal="center"/>
    </xf>
    <xf numFmtId="5" fontId="37" fillId="0" borderId="0" xfId="0" applyNumberFormat="1" applyFont="1" applyFill="1" applyAlignment="1">
      <alignment horizontal="center"/>
    </xf>
    <xf numFmtId="0" fontId="85" fillId="0" borderId="0" xfId="0" applyFont="1" applyFill="1" applyAlignment="1">
      <alignment horizontal="center"/>
    </xf>
    <xf numFmtId="0" fontId="86" fillId="0" borderId="0" xfId="0" applyFont="1" applyFill="1" applyAlignment="1">
      <alignment horizontal="center" readingOrder="1"/>
    </xf>
    <xf numFmtId="5" fontId="66" fillId="0" borderId="0" xfId="0" applyNumberFormat="1" applyFont="1" applyFill="1" applyBorder="1" applyAlignment="1" applyProtection="1">
      <alignment horizontal="center" vertical="center" wrapText="1"/>
    </xf>
    <xf numFmtId="5" fontId="0" fillId="0" borderId="0" xfId="0" applyNumberFormat="1" applyFill="1" applyAlignment="1">
      <alignment wrapText="1" readingOrder="1"/>
    </xf>
    <xf numFmtId="5" fontId="67" fillId="0" borderId="7" xfId="0" applyNumberFormat="1" applyFont="1" applyFill="1" applyBorder="1" applyAlignment="1">
      <alignment horizontal="center" wrapText="1" readingOrder="1"/>
    </xf>
    <xf numFmtId="0" fontId="35" fillId="0" borderId="16" xfId="0" applyFont="1" applyFill="1" applyBorder="1" applyAlignment="1">
      <alignment horizontal="right" vertical="top" wrapText="1" readingOrder="1"/>
    </xf>
    <xf numFmtId="0" fontId="72" fillId="0" borderId="0" xfId="0" applyFont="1" applyFill="1" applyAlignment="1">
      <alignment horizontal="center" readingOrder="1"/>
    </xf>
    <xf numFmtId="0" fontId="37" fillId="0" borderId="0" xfId="0" applyFont="1" applyFill="1" applyAlignment="1">
      <alignment horizontal="right" readingOrder="1"/>
    </xf>
    <xf numFmtId="0" fontId="45" fillId="0" borderId="0" xfId="0" applyFont="1" applyFill="1" applyAlignment="1">
      <alignment horizontal="center" readingOrder="1"/>
    </xf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39"/>
  <sheetViews>
    <sheetView tabSelected="1" view="pageBreakPreview" zoomScale="70" zoomScaleNormal="75" zoomScaleSheetLayoutView="70" workbookViewId="0">
      <selection activeCell="A2" sqref="A2"/>
    </sheetView>
  </sheetViews>
  <sheetFormatPr defaultColWidth="15.140625" defaultRowHeight="18.75"/>
  <cols>
    <col min="1" max="1" width="89.140625" style="8" customWidth="1"/>
    <col min="2" max="2" width="30.85546875" style="23" customWidth="1"/>
    <col min="3" max="3" width="4.42578125" style="23" customWidth="1"/>
    <col min="4" max="4" width="16.140625" style="23" customWidth="1"/>
    <col min="5" max="5" width="14.42578125" style="23" customWidth="1"/>
    <col min="6" max="6" width="15" style="23" customWidth="1"/>
    <col min="7" max="7" width="14.7109375" style="23" customWidth="1"/>
    <col min="8" max="11" width="15.5703125" style="23" customWidth="1"/>
    <col min="12" max="12" width="17.7109375" style="23" customWidth="1"/>
    <col min="13" max="13" width="1.42578125" style="23" customWidth="1"/>
    <col min="14" max="14" width="18" style="23" customWidth="1"/>
    <col min="15" max="15" width="11" style="23" bestFit="1" customWidth="1"/>
    <col min="16" max="16384" width="15.140625" style="23"/>
  </cols>
  <sheetData>
    <row r="1" spans="1:15" ht="20.25">
      <c r="J1" s="72" t="s">
        <v>39</v>
      </c>
      <c r="M1" s="71"/>
    </row>
    <row r="2" spans="1:15" ht="20.25">
      <c r="J2" s="72" t="s">
        <v>55</v>
      </c>
      <c r="L2" s="72"/>
      <c r="M2" s="71"/>
    </row>
    <row r="3" spans="1:15" ht="23.25">
      <c r="A3" s="364" t="str">
        <f>INPUTS!D89</f>
        <v>RAC 25 SUMMARY SCHEDULE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5" ht="23.25">
      <c r="A4" s="364" t="str">
        <f>INPUTS!D90</f>
        <v>FOR THE ANNUAL RAC PERIOD ENDED JULY 31, 2017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1:15" ht="23.25">
      <c r="A5" s="365" t="s">
        <v>72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</row>
    <row r="6" spans="1:15" ht="9" customHeight="1">
      <c r="A6" s="1"/>
      <c r="B6" s="33"/>
      <c r="C6" s="33"/>
      <c r="D6" s="33"/>
      <c r="E6" s="33"/>
      <c r="F6" s="33"/>
      <c r="G6" s="33"/>
      <c r="H6" s="33"/>
      <c r="I6" s="33"/>
      <c r="J6" s="33"/>
      <c r="K6" s="2"/>
      <c r="L6" s="2"/>
      <c r="M6" s="2"/>
      <c r="N6" s="2"/>
      <c r="O6" s="34"/>
    </row>
    <row r="7" spans="1:15" ht="8.25" customHeight="1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4"/>
    </row>
    <row r="8" spans="1:15" s="85" customFormat="1" ht="22.5" customHeight="1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4"/>
    </row>
    <row r="9" spans="1:15">
      <c r="A9" s="5"/>
      <c r="B9" s="277" t="s">
        <v>94</v>
      </c>
      <c r="C9" s="277"/>
      <c r="D9" s="150" t="s">
        <v>5</v>
      </c>
      <c r="E9" s="282" t="str">
        <f>INPUTS!D79</f>
        <v>RAC #25</v>
      </c>
      <c r="F9" s="282" t="str">
        <f>INPUTS!E79</f>
        <v>RAC #24</v>
      </c>
      <c r="G9" s="282" t="str">
        <f>INPUTS!F79</f>
        <v>RAC #23</v>
      </c>
      <c r="H9" s="283" t="str">
        <f>INPUTS!G79</f>
        <v>RAC #22</v>
      </c>
      <c r="I9" s="282" t="str">
        <f>INPUTS!H79</f>
        <v>RAC #21</v>
      </c>
      <c r="J9" s="282" t="str">
        <f>INPUTS!I79</f>
        <v>RAC #20</v>
      </c>
      <c r="K9" s="282" t="str">
        <f>INPUTS!J79</f>
        <v>RAC #19</v>
      </c>
      <c r="L9" s="150"/>
      <c r="M9" s="9"/>
      <c r="O9" s="34"/>
    </row>
    <row r="10" spans="1:15">
      <c r="A10" s="5"/>
      <c r="B10" s="3"/>
      <c r="C10" s="3"/>
      <c r="D10" s="3"/>
      <c r="E10" s="3"/>
      <c r="M10" s="3"/>
      <c r="N10" s="3"/>
      <c r="O10" s="34"/>
    </row>
    <row r="11" spans="1:15" ht="19.5" thickBot="1">
      <c r="A11" s="5"/>
      <c r="B11" s="3"/>
      <c r="C11" s="3"/>
      <c r="D11" s="3"/>
      <c r="E11" s="3"/>
      <c r="H11" s="3"/>
      <c r="I11" s="3"/>
      <c r="J11" s="3"/>
      <c r="K11" s="3"/>
      <c r="M11" s="3"/>
      <c r="N11" s="3"/>
      <c r="O11" s="34"/>
    </row>
    <row r="12" spans="1:15">
      <c r="A12" s="99" t="s">
        <v>64</v>
      </c>
      <c r="B12" s="100"/>
      <c r="C12" s="100"/>
      <c r="D12" s="100"/>
      <c r="E12" s="100"/>
      <c r="F12" s="278"/>
      <c r="G12" s="278"/>
      <c r="H12" s="100"/>
      <c r="I12" s="100"/>
      <c r="J12" s="100"/>
      <c r="K12" s="279"/>
      <c r="M12" s="3"/>
      <c r="N12" s="3"/>
      <c r="O12" s="34"/>
    </row>
    <row r="13" spans="1:15" ht="42.75" customHeight="1">
      <c r="A13" s="324" t="str">
        <f>INPUTS!D83</f>
        <v>Prior RAC Periods #19 - #24 - Actual Approved Expenditures , Net*</v>
      </c>
      <c r="B13" s="102" t="s">
        <v>114</v>
      </c>
      <c r="C13" s="96" t="s">
        <v>53</v>
      </c>
      <c r="D13" s="103">
        <f>SUM(E13:K13)</f>
        <v>289452.60252564872</v>
      </c>
      <c r="E13" s="104"/>
      <c r="F13" s="280">
        <f>INPUTS!E80</f>
        <v>40903.28739261692</v>
      </c>
      <c r="G13" s="280">
        <f>INPUTS!F80</f>
        <v>54113.496018271799</v>
      </c>
      <c r="H13" s="280">
        <f>INPUTS!G80</f>
        <v>84997.55423693746</v>
      </c>
      <c r="I13" s="280">
        <f>INPUTS!H80</f>
        <v>65895.714337822486</v>
      </c>
      <c r="J13" s="280">
        <f>INPUTS!I80</f>
        <v>25770</v>
      </c>
      <c r="K13" s="287">
        <f>INPUTS!J80</f>
        <v>17772.55054</v>
      </c>
      <c r="L13" s="140"/>
      <c r="M13" s="4"/>
      <c r="O13" s="34"/>
    </row>
    <row r="14" spans="1:15" ht="18.75" customHeight="1" thickBot="1">
      <c r="A14" s="323" t="str">
        <f>INPUTS!D84</f>
        <v>RAC 25 Period - Actual Expenditures, Net*</v>
      </c>
      <c r="B14" s="105" t="s">
        <v>115</v>
      </c>
      <c r="C14" s="121" t="s">
        <v>54</v>
      </c>
      <c r="D14" s="106">
        <f>SUM(E14:K14)</f>
        <v>57694.535941126669</v>
      </c>
      <c r="E14" s="284">
        <f>'A-3 (PAGE 1)'!F19/1000</f>
        <v>57694.535941126669</v>
      </c>
      <c r="F14" s="106"/>
      <c r="G14" s="106"/>
      <c r="H14" s="107"/>
      <c r="I14" s="107"/>
      <c r="J14" s="107"/>
      <c r="K14" s="188"/>
      <c r="M14" s="4"/>
      <c r="O14" s="34"/>
    </row>
    <row r="15" spans="1:15" ht="18.75" customHeight="1">
      <c r="A15" s="94"/>
      <c r="B15" s="98"/>
      <c r="C15" s="96"/>
      <c r="D15" s="86"/>
      <c r="E15" s="86"/>
      <c r="F15" s="86"/>
      <c r="G15" s="86"/>
      <c r="H15" s="97"/>
      <c r="I15" s="97"/>
      <c r="J15" s="97"/>
      <c r="K15" s="97"/>
      <c r="M15" s="4"/>
      <c r="O15" s="34"/>
    </row>
    <row r="16" spans="1:15" ht="18.75" customHeight="1">
      <c r="A16" s="94"/>
      <c r="B16" s="98"/>
      <c r="C16" s="96"/>
      <c r="D16" s="86"/>
      <c r="E16" s="86"/>
      <c r="F16" s="86"/>
      <c r="G16" s="86"/>
      <c r="H16" s="97"/>
      <c r="I16" s="97"/>
      <c r="J16" s="97"/>
      <c r="K16" s="97"/>
      <c r="M16" s="4"/>
      <c r="O16" s="34"/>
    </row>
    <row r="17" spans="1:15" ht="30.75" customHeight="1">
      <c r="A17" s="101" t="s">
        <v>65</v>
      </c>
      <c r="B17" s="95"/>
      <c r="C17" s="96"/>
      <c r="D17" s="86"/>
      <c r="E17" s="36"/>
      <c r="F17" s="86"/>
      <c r="G17" s="86"/>
      <c r="H17" s="97"/>
      <c r="I17" s="97"/>
      <c r="J17" s="97"/>
      <c r="K17" s="97"/>
      <c r="M17" s="4"/>
      <c r="O17" s="34"/>
    </row>
    <row r="18" spans="1:15" ht="34.5" customHeight="1">
      <c r="A18" s="108" t="s">
        <v>63</v>
      </c>
      <c r="B18" s="109" t="s">
        <v>116</v>
      </c>
      <c r="C18" s="109"/>
      <c r="D18" s="110">
        <f>SUM(E18:K18)</f>
        <v>41350</v>
      </c>
      <c r="F18" s="111">
        <f t="shared" ref="F18:K18" si="0">ROUND(F13/7,0)</f>
        <v>5843</v>
      </c>
      <c r="G18" s="111">
        <f t="shared" si="0"/>
        <v>7730</v>
      </c>
      <c r="H18" s="111">
        <f t="shared" si="0"/>
        <v>12143</v>
      </c>
      <c r="I18" s="111">
        <f t="shared" si="0"/>
        <v>9414</v>
      </c>
      <c r="J18" s="111">
        <f t="shared" si="0"/>
        <v>3681</v>
      </c>
      <c r="K18" s="111">
        <f t="shared" si="0"/>
        <v>2539</v>
      </c>
      <c r="L18" s="39"/>
      <c r="M18" s="7"/>
      <c r="O18" s="34"/>
    </row>
    <row r="19" spans="1:15">
      <c r="A19" s="112"/>
      <c r="B19" s="112"/>
      <c r="C19" s="112"/>
      <c r="D19" s="112"/>
      <c r="E19" s="112"/>
      <c r="F19" s="113"/>
      <c r="G19" s="113"/>
      <c r="H19" s="113"/>
      <c r="I19" s="113"/>
      <c r="J19" s="113"/>
      <c r="K19" s="114"/>
      <c r="L19" s="6"/>
      <c r="M19" s="6"/>
      <c r="N19" s="6"/>
      <c r="O19" s="34"/>
    </row>
    <row r="20" spans="1:15">
      <c r="A20" s="108" t="s">
        <v>174</v>
      </c>
      <c r="B20" s="115" t="s">
        <v>89</v>
      </c>
      <c r="C20" s="116"/>
      <c r="D20" s="117">
        <f>SUM(E20:K20)</f>
        <v>8242</v>
      </c>
      <c r="E20" s="111">
        <f>ROUND(E14/7,0)</f>
        <v>8242</v>
      </c>
      <c r="F20" s="113"/>
      <c r="G20" s="113"/>
      <c r="H20" s="113"/>
      <c r="I20" s="113"/>
      <c r="J20" s="113"/>
      <c r="K20" s="114"/>
      <c r="L20" s="39"/>
      <c r="M20" s="6"/>
      <c r="N20" s="6"/>
      <c r="O20" s="34"/>
    </row>
    <row r="21" spans="1:15">
      <c r="A21" s="108"/>
      <c r="B21" s="115"/>
      <c r="C21" s="116"/>
      <c r="D21" s="116"/>
      <c r="E21" s="113"/>
      <c r="F21" s="113"/>
      <c r="G21" s="113"/>
      <c r="H21" s="113"/>
      <c r="I21" s="113"/>
      <c r="J21" s="113"/>
      <c r="K21" s="114"/>
      <c r="L21" s="6"/>
      <c r="M21" s="6"/>
      <c r="N21" s="6"/>
      <c r="O21" s="34"/>
    </row>
    <row r="22" spans="1:15" ht="36">
      <c r="A22" s="118" t="str">
        <f>'A-2 (PAGE 2)'!A9</f>
        <v xml:space="preserve"> RAC 19 through  25 Expenditures for Allocation between Gas &amp; Electric</v>
      </c>
      <c r="C22" s="116"/>
      <c r="D22" s="123">
        <f>SUM(D18:D20)</f>
        <v>49592</v>
      </c>
      <c r="E22" s="122" t="s">
        <v>117</v>
      </c>
      <c r="F22" s="113"/>
      <c r="G22" s="119"/>
      <c r="H22" s="113"/>
      <c r="I22" s="113"/>
      <c r="J22" s="113"/>
      <c r="K22" s="114"/>
      <c r="L22" s="39"/>
      <c r="M22" s="6"/>
      <c r="N22" s="6"/>
      <c r="O22" s="34"/>
    </row>
    <row r="23" spans="1:15">
      <c r="A23" s="108"/>
      <c r="B23" s="115"/>
      <c r="C23" s="116"/>
      <c r="D23" s="116"/>
      <c r="E23" s="113"/>
      <c r="F23" s="113"/>
      <c r="G23" s="113"/>
      <c r="H23" s="113"/>
      <c r="I23" s="113"/>
      <c r="J23" s="113"/>
      <c r="K23" s="114"/>
      <c r="L23" s="6"/>
      <c r="M23" s="6"/>
      <c r="N23" s="6"/>
      <c r="O23" s="34"/>
    </row>
    <row r="24" spans="1:15">
      <c r="A24" s="108" t="str">
        <f>'A-2 (PAGE 2)'!A17</f>
        <v xml:space="preserve"> True up of RAC 24 Expenditures with RAC Recoveries - GAS</v>
      </c>
      <c r="B24" s="115" t="s">
        <v>120</v>
      </c>
      <c r="C24" s="116"/>
      <c r="D24" s="110">
        <f>'A-3 (PAGE 2)'!G21</f>
        <v>7375.1287677738073</v>
      </c>
      <c r="E24" s="113"/>
      <c r="F24" s="113"/>
      <c r="G24" s="325"/>
      <c r="H24" s="113"/>
      <c r="I24" s="113"/>
      <c r="J24" s="113"/>
      <c r="K24" s="114"/>
      <c r="L24" s="39"/>
      <c r="M24" s="6"/>
      <c r="N24" s="6"/>
      <c r="O24" s="34"/>
    </row>
    <row r="25" spans="1:15">
      <c r="A25" s="108" t="str">
        <f>'A-2 (PAGE 2)'!A18</f>
        <v xml:space="preserve"> True up of RAC 24 Expenditures with RAC Recoveries - ELEC</v>
      </c>
      <c r="B25" s="115" t="s">
        <v>120</v>
      </c>
      <c r="C25" s="116"/>
      <c r="D25" s="103">
        <f>'A-3 (PAGE 2)'!H21</f>
        <v>-48.473897828625923</v>
      </c>
      <c r="E25" s="113"/>
      <c r="F25" s="113"/>
      <c r="G25" s="325"/>
      <c r="H25" s="113"/>
      <c r="I25" s="113"/>
      <c r="J25" s="113"/>
      <c r="K25" s="114"/>
      <c r="L25" s="39"/>
      <c r="M25" s="6"/>
      <c r="N25" s="6"/>
      <c r="O25" s="34"/>
    </row>
    <row r="26" spans="1:15">
      <c r="A26" s="108"/>
      <c r="B26" s="115"/>
      <c r="C26" s="116"/>
      <c r="D26" s="103"/>
      <c r="E26" s="113"/>
      <c r="F26" s="113"/>
      <c r="G26" s="113"/>
      <c r="H26" s="113"/>
      <c r="I26" s="113"/>
      <c r="J26" s="113"/>
      <c r="K26" s="114"/>
      <c r="L26" s="6"/>
      <c r="M26" s="6"/>
      <c r="N26" s="6"/>
      <c r="O26" s="34"/>
    </row>
    <row r="27" spans="1:15" ht="36">
      <c r="A27" s="118" t="str">
        <f>'A-2 (PAGE 2)'!A20</f>
        <v>Cumulative Interest (Carrying Charges) on Gas Deferred   Balances  Aug-17 to Jun-19 per Dkt. No. ER02080604</v>
      </c>
      <c r="B27" s="115" t="s">
        <v>121</v>
      </c>
      <c r="C27" s="116"/>
      <c r="D27" s="103">
        <f>-'A-5-GAS (PAGE 1-2)'!Z30/1000</f>
        <v>3580.8347198590909</v>
      </c>
      <c r="E27" s="113"/>
      <c r="F27" s="113"/>
      <c r="G27" s="325"/>
      <c r="H27" s="113"/>
      <c r="I27" s="113"/>
      <c r="J27" s="113"/>
      <c r="K27" s="114"/>
      <c r="L27" s="39"/>
      <c r="M27" s="6"/>
      <c r="N27" s="6"/>
      <c r="O27" s="34"/>
    </row>
    <row r="28" spans="1:15" ht="12" customHeight="1">
      <c r="A28" s="118"/>
      <c r="B28" s="115"/>
      <c r="C28" s="116"/>
      <c r="D28" s="103"/>
      <c r="E28" s="113"/>
      <c r="F28" s="113"/>
      <c r="G28" s="113"/>
      <c r="H28" s="113"/>
      <c r="I28" s="113"/>
      <c r="J28" s="113"/>
      <c r="K28" s="114"/>
      <c r="L28" s="6"/>
      <c r="M28" s="6"/>
      <c r="N28" s="6"/>
      <c r="O28" s="34"/>
    </row>
    <row r="29" spans="1:15" ht="36">
      <c r="A29" s="118" t="str">
        <f>'A-2 (PAGE 2)'!A22</f>
        <v>Cumulative Interest (Carrying Charges) on Electric Deferred Balances  Aug-17 to Jun-19 per DKT No. ER020080604</v>
      </c>
      <c r="B29" s="115" t="s">
        <v>122</v>
      </c>
      <c r="C29" s="116"/>
      <c r="D29" s="117">
        <f>-'A-5-ELECTRIC (PAGE 3-4)'!Z30/1000</f>
        <v>2196.6224019566416</v>
      </c>
      <c r="E29" s="113"/>
      <c r="F29" s="113"/>
      <c r="G29" s="325"/>
      <c r="H29" s="113"/>
      <c r="I29" s="113"/>
      <c r="J29" s="113"/>
      <c r="K29" s="114"/>
      <c r="L29" s="39"/>
      <c r="M29" s="6"/>
      <c r="N29" s="6"/>
      <c r="O29" s="34"/>
    </row>
    <row r="30" spans="1:15">
      <c r="A30" s="108"/>
      <c r="B30" s="116"/>
      <c r="C30" s="116"/>
      <c r="D30" s="116"/>
      <c r="E30" s="113"/>
      <c r="F30" s="113"/>
      <c r="G30" s="113"/>
      <c r="H30" s="113"/>
      <c r="I30" s="113"/>
      <c r="J30" s="113"/>
      <c r="K30" s="114"/>
      <c r="L30" s="6"/>
      <c r="M30" s="6"/>
      <c r="N30" s="6"/>
      <c r="O30" s="34"/>
    </row>
    <row r="31" spans="1:15" ht="19.5" thickBot="1">
      <c r="A31" s="82" t="str">
        <f>INPUTS!D85</f>
        <v xml:space="preserve">TOTAL - RAC 25 ANNUAL RECOVERY, PERIOD TO DATE </v>
      </c>
      <c r="B31" s="83"/>
      <c r="C31" s="83"/>
      <c r="D31" s="124">
        <f>SUM(D22:D29)</f>
        <v>62696.111991760918</v>
      </c>
      <c r="E31" s="35"/>
      <c r="F31" s="35"/>
      <c r="G31" s="86"/>
      <c r="H31" s="35"/>
      <c r="I31" s="35"/>
      <c r="J31" s="35"/>
      <c r="K31" s="6"/>
      <c r="L31" s="39"/>
      <c r="M31" s="6"/>
      <c r="N31" s="6"/>
      <c r="O31" s="34"/>
    </row>
    <row r="32" spans="1:15" ht="19.5" thickTop="1">
      <c r="A32" s="82"/>
      <c r="B32" s="83"/>
      <c r="C32" s="83"/>
      <c r="D32" s="83"/>
      <c r="E32" s="35"/>
      <c r="F32" s="35"/>
      <c r="G32" s="35"/>
      <c r="H32" s="35"/>
      <c r="I32" s="35"/>
      <c r="J32" s="35"/>
      <c r="K32" s="6"/>
      <c r="L32" s="6"/>
      <c r="M32" s="6"/>
      <c r="N32" s="6"/>
      <c r="O32" s="34"/>
    </row>
    <row r="33" spans="1:15">
      <c r="A33" s="1"/>
      <c r="B33" s="38"/>
      <c r="C33" s="38"/>
      <c r="D33" s="38"/>
      <c r="E33" s="38"/>
      <c r="F33" s="38"/>
      <c r="G33" s="38"/>
      <c r="H33" s="38"/>
      <c r="I33" s="38"/>
      <c r="J33" s="38"/>
      <c r="K33" s="21"/>
      <c r="L33" s="27"/>
      <c r="M33" s="27"/>
      <c r="N33" s="26"/>
      <c r="O33" s="34"/>
    </row>
    <row r="34" spans="1:15">
      <c r="A34" s="88" t="s">
        <v>118</v>
      </c>
      <c r="B34" s="38"/>
      <c r="C34" s="38"/>
      <c r="D34" s="38"/>
      <c r="E34" s="38"/>
      <c r="F34" s="38"/>
      <c r="G34" s="38"/>
      <c r="H34" s="38"/>
      <c r="I34" s="38"/>
      <c r="J34" s="38"/>
      <c r="K34" s="21"/>
      <c r="L34" s="28"/>
      <c r="M34" s="28"/>
      <c r="N34" s="26"/>
      <c r="O34" s="34"/>
    </row>
    <row r="35" spans="1:15">
      <c r="A35" s="200" t="s">
        <v>128</v>
      </c>
      <c r="B35" s="38"/>
      <c r="C35" s="38"/>
      <c r="D35" s="38"/>
      <c r="E35" s="38"/>
      <c r="F35" s="38"/>
      <c r="G35" s="38"/>
      <c r="H35" s="38"/>
      <c r="I35" s="38"/>
      <c r="J35" s="38"/>
      <c r="K35" s="21"/>
      <c r="L35" s="28"/>
      <c r="M35" s="28"/>
      <c r="N35" s="26"/>
      <c r="O35" s="34"/>
    </row>
    <row r="36" spans="1:15">
      <c r="A36" s="1"/>
      <c r="B36" s="38"/>
      <c r="C36" s="38"/>
      <c r="D36" s="38"/>
      <c r="E36" s="38"/>
      <c r="F36" s="38"/>
      <c r="G36" s="38"/>
      <c r="H36" s="38"/>
      <c r="I36" s="38"/>
      <c r="J36" s="38"/>
      <c r="K36" s="21"/>
      <c r="L36" s="28"/>
      <c r="M36" s="28"/>
      <c r="N36" s="26"/>
      <c r="O36" s="34"/>
    </row>
    <row r="37" spans="1:15">
      <c r="A37" s="1"/>
      <c r="B37" s="38"/>
      <c r="C37" s="38"/>
      <c r="D37" s="38"/>
      <c r="E37" s="38"/>
      <c r="F37" s="38"/>
      <c r="G37" s="38"/>
      <c r="H37" s="38"/>
      <c r="I37" s="38"/>
      <c r="J37" s="38"/>
      <c r="K37" s="21"/>
      <c r="L37" s="28"/>
      <c r="M37" s="28"/>
      <c r="N37" s="26"/>
      <c r="O37" s="34"/>
    </row>
    <row r="38" spans="1:15" ht="12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4"/>
    </row>
    <row r="39" spans="1:15" ht="9.75" customHeight="1">
      <c r="A39" s="37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4"/>
    </row>
  </sheetData>
  <mergeCells count="3">
    <mergeCell ref="A3:N3"/>
    <mergeCell ref="A4:N4"/>
    <mergeCell ref="A5:N5"/>
  </mergeCells>
  <phoneticPr fontId="3" type="noConversion"/>
  <printOptions horizontalCentered="1"/>
  <pageMargins left="1" right="1" top="1" bottom="1" header="0.5" footer="0.5"/>
  <pageSetup scale="44" orientation="landscape" r:id="rId1"/>
  <headerFooter alignWithMargins="0">
    <oddHeader>&amp;L&amp;P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I60"/>
  <sheetViews>
    <sheetView topLeftCell="A22" zoomScaleNormal="100" workbookViewId="0">
      <selection activeCell="A32" sqref="A32"/>
    </sheetView>
  </sheetViews>
  <sheetFormatPr defaultRowHeight="15.75"/>
  <cols>
    <col min="1" max="1" width="57.7109375" style="90" customWidth="1"/>
    <col min="2" max="2" width="26.28515625" style="90" customWidth="1"/>
    <col min="3" max="3" width="3.7109375" style="90" customWidth="1"/>
    <col min="4" max="4" width="15.42578125" style="90" customWidth="1"/>
    <col min="5" max="5" width="15" style="90" customWidth="1"/>
    <col min="6" max="6" width="15.42578125" style="90" customWidth="1"/>
    <col min="7" max="7" width="15.7109375" style="90" customWidth="1"/>
    <col min="8" max="8" width="10.7109375" style="90" customWidth="1"/>
    <col min="9" max="9" width="18.140625" style="90" customWidth="1"/>
    <col min="10" max="16384" width="9.140625" style="90"/>
  </cols>
  <sheetData>
    <row r="1" spans="1:9" ht="18">
      <c r="H1" s="71" t="s">
        <v>39</v>
      </c>
    </row>
    <row r="2" spans="1:9" ht="18">
      <c r="H2" s="71" t="s">
        <v>81</v>
      </c>
    </row>
    <row r="3" spans="1:9" ht="18.75">
      <c r="A3" s="367" t="str">
        <f>INPUTS!D76</f>
        <v>REMEDIATION PROGRAM COSTS - RAC 25</v>
      </c>
      <c r="B3" s="367"/>
      <c r="C3" s="367"/>
      <c r="D3" s="367"/>
      <c r="E3" s="367"/>
      <c r="F3" s="367"/>
      <c r="G3" s="367"/>
      <c r="H3" s="367"/>
      <c r="I3" s="367"/>
    </row>
    <row r="4" spans="1:9" ht="18.75">
      <c r="A4" s="368" t="s">
        <v>56</v>
      </c>
      <c r="B4" s="368"/>
      <c r="C4" s="368"/>
      <c r="D4" s="368"/>
      <c r="E4" s="368"/>
      <c r="F4" s="368"/>
      <c r="G4" s="368"/>
      <c r="H4" s="368"/>
      <c r="I4" s="368"/>
    </row>
    <row r="5" spans="1:9" ht="19.5" thickBot="1">
      <c r="A5" s="369" t="s">
        <v>72</v>
      </c>
      <c r="B5" s="370"/>
      <c r="C5" s="370"/>
      <c r="D5" s="370"/>
      <c r="E5" s="370"/>
      <c r="F5" s="370"/>
      <c r="G5" s="370"/>
      <c r="H5" s="370"/>
      <c r="I5" s="370"/>
    </row>
    <row r="6" spans="1:9" ht="16.5" thickBot="1">
      <c r="A6" s="151" t="s">
        <v>66</v>
      </c>
      <c r="B6" s="152"/>
    </row>
    <row r="7" spans="1:9">
      <c r="B7" s="89" t="s">
        <v>94</v>
      </c>
      <c r="C7" s="89"/>
      <c r="D7" s="89" t="s">
        <v>58</v>
      </c>
      <c r="E7" s="89" t="s">
        <v>59</v>
      </c>
      <c r="F7" s="89" t="s">
        <v>57</v>
      </c>
    </row>
    <row r="8" spans="1:9">
      <c r="A8" s="153"/>
      <c r="B8" s="89"/>
      <c r="C8" s="89"/>
      <c r="D8" s="154"/>
      <c r="E8" s="154"/>
      <c r="F8" s="154"/>
    </row>
    <row r="9" spans="1:9" ht="31.5">
      <c r="A9" s="274" t="str">
        <f>INPUTS!D69</f>
        <v xml:space="preserve"> RAC 19 through  25 Expenditures for Allocation between Gas &amp; Electric</v>
      </c>
      <c r="B9" s="92" t="s">
        <v>95</v>
      </c>
      <c r="C9" s="155"/>
      <c r="D9" s="155"/>
      <c r="E9" s="155"/>
      <c r="F9" s="156">
        <f>'A-2 (PAGE 1) '!D22</f>
        <v>49592</v>
      </c>
      <c r="G9" s="93" t="s">
        <v>53</v>
      </c>
    </row>
    <row r="11" spans="1:9">
      <c r="A11" s="153" t="s">
        <v>60</v>
      </c>
      <c r="B11" s="91" t="s">
        <v>82</v>
      </c>
      <c r="C11" s="91"/>
      <c r="D11" s="154">
        <v>0.6</v>
      </c>
      <c r="E11" s="154">
        <v>0.4</v>
      </c>
      <c r="F11" s="154">
        <v>1</v>
      </c>
    </row>
    <row r="13" spans="1:9">
      <c r="A13" s="90" t="s">
        <v>168</v>
      </c>
      <c r="B13" s="157" t="s">
        <v>90</v>
      </c>
      <c r="D13" s="158">
        <f>F9*0.6</f>
        <v>29755.199999999997</v>
      </c>
      <c r="E13" s="158"/>
      <c r="H13" s="23"/>
    </row>
    <row r="14" spans="1:9">
      <c r="A14" s="90" t="s">
        <v>169</v>
      </c>
      <c r="B14" s="157" t="s">
        <v>91</v>
      </c>
      <c r="D14" s="158"/>
      <c r="E14" s="158">
        <f>F9*0.4</f>
        <v>19836.800000000003</v>
      </c>
      <c r="H14" s="23"/>
    </row>
    <row r="16" spans="1:9">
      <c r="A16" s="90" t="s">
        <v>61</v>
      </c>
    </row>
    <row r="17" spans="1:7">
      <c r="A17" s="273" t="str">
        <f>INPUTS!D70</f>
        <v xml:space="preserve"> True up of RAC 24 Expenditures with RAC Recoveries - GAS</v>
      </c>
      <c r="B17" s="159" t="s">
        <v>125</v>
      </c>
      <c r="D17" s="158">
        <f>'A-2 (PAGE 1) '!D24</f>
        <v>7375.1287677738073</v>
      </c>
    </row>
    <row r="18" spans="1:7">
      <c r="A18" s="273" t="str">
        <f>INPUTS!D71</f>
        <v xml:space="preserve"> True up of RAC 24 Expenditures with RAC Recoveries - ELEC</v>
      </c>
      <c r="B18" s="159" t="s">
        <v>125</v>
      </c>
      <c r="E18" s="158">
        <f>'A-2 (PAGE 1) '!D25</f>
        <v>-48.473897828625923</v>
      </c>
    </row>
    <row r="20" spans="1:7" ht="31.5">
      <c r="A20" s="275" t="str">
        <f>INPUTS!D72</f>
        <v>Cumulative Interest (Carrying Charges) on Gas Deferred   Balances  Aug-17 to Jun-19 per Dkt. No. ER02080604</v>
      </c>
      <c r="B20" s="159" t="s">
        <v>92</v>
      </c>
      <c r="D20" s="158">
        <f>'A-2 (PAGE 1) '!D27</f>
        <v>3580.8347198590909</v>
      </c>
    </row>
    <row r="21" spans="1:7" ht="18">
      <c r="A21" s="87"/>
      <c r="B21" s="157"/>
    </row>
    <row r="22" spans="1:7" ht="31.5">
      <c r="A22" s="275" t="str">
        <f>INPUTS!D73</f>
        <v>Cumulative Interest (Carrying Charges) on Electric Deferred Balances  Aug-17 to Jun-19 per DKT No. ER020080604</v>
      </c>
      <c r="B22" s="159" t="s">
        <v>93</v>
      </c>
      <c r="E22" s="158">
        <f>'A-2 (PAGE 1) '!D29</f>
        <v>2196.6224019566416</v>
      </c>
    </row>
    <row r="24" spans="1:7" ht="16.5" thickBot="1">
      <c r="A24" s="160" t="s">
        <v>62</v>
      </c>
      <c r="D24" s="161">
        <f>SUM(D13:D22)</f>
        <v>40711.163487632897</v>
      </c>
      <c r="E24" s="161">
        <f>SUM(E13:E22)</f>
        <v>21984.94850412802</v>
      </c>
      <c r="F24" s="162">
        <f>SUM(D24:E24)</f>
        <v>62696.111991760918</v>
      </c>
      <c r="G24" s="163" t="s">
        <v>124</v>
      </c>
    </row>
    <row r="25" spans="1:7" ht="16.5" thickTop="1">
      <c r="D25" s="160"/>
      <c r="E25" s="160"/>
      <c r="F25" s="160"/>
      <c r="G25" s="163"/>
    </row>
    <row r="26" spans="1:7">
      <c r="G26" s="164"/>
    </row>
    <row r="27" spans="1:7" ht="47.25">
      <c r="A27" s="165" t="s">
        <v>67</v>
      </c>
    </row>
    <row r="29" spans="1:7" ht="16.5" thickBot="1"/>
    <row r="30" spans="1:7" ht="16.5" thickBot="1">
      <c r="A30" s="151" t="s">
        <v>68</v>
      </c>
      <c r="B30" s="152"/>
    </row>
    <row r="31" spans="1:7">
      <c r="A31" s="166"/>
      <c r="B31" s="167"/>
      <c r="D31" s="276" t="str">
        <f>INPUTS!D74</f>
        <v>7/18-6/19</v>
      </c>
    </row>
    <row r="32" spans="1:7">
      <c r="D32" s="157"/>
      <c r="E32" s="371" t="s">
        <v>70</v>
      </c>
      <c r="F32" s="372"/>
      <c r="G32" s="168" t="s">
        <v>72</v>
      </c>
    </row>
    <row r="33" spans="1:7">
      <c r="D33" s="169" t="s">
        <v>84</v>
      </c>
      <c r="E33" s="170" t="s">
        <v>6</v>
      </c>
      <c r="F33" s="170" t="s">
        <v>206</v>
      </c>
      <c r="G33" s="170" t="s">
        <v>71</v>
      </c>
    </row>
    <row r="34" spans="1:7">
      <c r="A34" s="171" t="s">
        <v>78</v>
      </c>
      <c r="B34" s="90" t="s">
        <v>7</v>
      </c>
      <c r="D34" s="205">
        <f>INPUTS!D55</f>
        <v>1526063.8891809063</v>
      </c>
      <c r="E34" s="172">
        <f t="shared" ref="E34:E39" si="0">ROUND(($D$24/$D$40),6)</f>
        <v>1.3691999999999999E-2</v>
      </c>
      <c r="F34" s="172">
        <f>ROUND(E34*INPUTS!D61,6)</f>
        <v>1.4599000000000001E-2</v>
      </c>
      <c r="G34" s="158">
        <f>(ROUNDDOWN(D34*E34,0))</f>
        <v>20894</v>
      </c>
    </row>
    <row r="35" spans="1:7">
      <c r="B35" s="90" t="s">
        <v>8</v>
      </c>
      <c r="D35" s="205">
        <f>INPUTS!D56</f>
        <v>286092.33336951246</v>
      </c>
      <c r="E35" s="172">
        <f t="shared" si="0"/>
        <v>1.3691999999999999E-2</v>
      </c>
      <c r="F35" s="172">
        <f>ROUND(E35*INPUTS!D61,6)</f>
        <v>1.4599000000000001E-2</v>
      </c>
      <c r="G35" s="158">
        <f>(ROUNDDOWN(D35*E35,0))</f>
        <v>3917</v>
      </c>
    </row>
    <row r="36" spans="1:7">
      <c r="B36" s="90" t="s">
        <v>9</v>
      </c>
      <c r="D36" s="205">
        <f>INPUTS!D57</f>
        <v>726687.54992485314</v>
      </c>
      <c r="E36" s="172">
        <f t="shared" si="0"/>
        <v>1.3691999999999999E-2</v>
      </c>
      <c r="F36" s="172">
        <f>ROUND(E36*INPUTS!D61,6)</f>
        <v>1.4599000000000001E-2</v>
      </c>
      <c r="G36" s="158">
        <f>(ROUNDDOWN(D36*E36,0))</f>
        <v>9949</v>
      </c>
    </row>
    <row r="37" spans="1:7">
      <c r="B37" s="90" t="s">
        <v>10</v>
      </c>
      <c r="D37" s="205">
        <f>INPUTS!D58</f>
        <v>44899.382999999987</v>
      </c>
      <c r="E37" s="172">
        <f t="shared" si="0"/>
        <v>1.3691999999999999E-2</v>
      </c>
      <c r="F37" s="172">
        <f>ROUND(E37*INPUTS!D61,6)</f>
        <v>1.4599000000000001E-2</v>
      </c>
      <c r="G37" s="158">
        <f>(ROUND(D37*E37,0))</f>
        <v>615</v>
      </c>
    </row>
    <row r="38" spans="1:7">
      <c r="B38" s="90" t="s">
        <v>69</v>
      </c>
      <c r="D38" s="205">
        <f>INPUTS!D59</f>
        <v>388894.91800000006</v>
      </c>
      <c r="E38" s="172">
        <f t="shared" si="0"/>
        <v>1.3691999999999999E-2</v>
      </c>
      <c r="F38" s="172">
        <f>ROUND(E38*INPUTS!D61,6)</f>
        <v>1.4599000000000001E-2</v>
      </c>
      <c r="G38" s="158">
        <f>(ROUND(D38*E38,0))</f>
        <v>5325</v>
      </c>
    </row>
    <row r="39" spans="1:7">
      <c r="B39" s="90" t="s">
        <v>11</v>
      </c>
      <c r="D39" s="205">
        <f>INPUTS!D60</f>
        <v>682.5139999999999</v>
      </c>
      <c r="E39" s="172">
        <f t="shared" si="0"/>
        <v>1.3691999999999999E-2</v>
      </c>
      <c r="F39" s="172">
        <f>ROUND(E39*INPUTS!D61,6)</f>
        <v>1.4599000000000001E-2</v>
      </c>
      <c r="G39" s="158">
        <f>(ROUND(D39*E39,0))</f>
        <v>9</v>
      </c>
    </row>
    <row r="40" spans="1:7" ht="16.5" thickBot="1">
      <c r="D40" s="173">
        <f>ROUNDDOWN(SUM(D34:D39),0)</f>
        <v>2973320</v>
      </c>
      <c r="E40" s="172"/>
      <c r="G40" s="174">
        <f>SUM(G34:G39)</f>
        <v>40709</v>
      </c>
    </row>
    <row r="41" spans="1:7" ht="16.5" thickTop="1"/>
    <row r="43" spans="1:7" ht="16.5" thickBot="1"/>
    <row r="44" spans="1:7" ht="16.5" thickBot="1">
      <c r="A44" s="151" t="s">
        <v>73</v>
      </c>
      <c r="B44" s="175"/>
    </row>
    <row r="45" spans="1:7">
      <c r="D45" s="195" t="s">
        <v>79</v>
      </c>
    </row>
    <row r="46" spans="1:7">
      <c r="A46" s="171" t="s">
        <v>74</v>
      </c>
      <c r="B46" s="168" t="s">
        <v>72</v>
      </c>
      <c r="D46" s="158">
        <f>E24</f>
        <v>21984.94850412802</v>
      </c>
    </row>
    <row r="47" spans="1:7">
      <c r="A47" s="322" t="str">
        <f>INPUTS!D75</f>
        <v>Projected kWh Purchased July 2018 to June 2019</v>
      </c>
      <c r="B47" s="157" t="s">
        <v>75</v>
      </c>
      <c r="D47" s="206">
        <f>INPUTS!D62</f>
        <v>44352637.955898464</v>
      </c>
    </row>
    <row r="48" spans="1:7">
      <c r="A48" s="171" t="s">
        <v>77</v>
      </c>
      <c r="B48" s="157" t="s">
        <v>76</v>
      </c>
      <c r="D48" s="90">
        <f>ROUND(+D46/D47,6)</f>
        <v>4.9600000000000002E-4</v>
      </c>
      <c r="E48" s="172"/>
    </row>
    <row r="49" spans="1:8">
      <c r="A49" s="171"/>
      <c r="B49" s="157"/>
      <c r="D49" s="176"/>
      <c r="E49" s="176"/>
    </row>
    <row r="50" spans="1:8">
      <c r="E50" s="371" t="s">
        <v>80</v>
      </c>
      <c r="F50" s="372"/>
      <c r="G50" s="177"/>
    </row>
    <row r="51" spans="1:8">
      <c r="D51" s="195" t="s">
        <v>12</v>
      </c>
      <c r="E51" s="170" t="s">
        <v>6</v>
      </c>
      <c r="F51" s="170" t="s">
        <v>206</v>
      </c>
      <c r="G51" s="178"/>
    </row>
    <row r="52" spans="1:8">
      <c r="A52" s="171" t="s">
        <v>78</v>
      </c>
      <c r="B52" s="90" t="s">
        <v>13</v>
      </c>
      <c r="D52" s="207">
        <f>INPUTS!C64</f>
        <v>7.5377E-2</v>
      </c>
      <c r="E52" s="172">
        <f>ROUND((D$48/(1-D52)),6)</f>
        <v>5.3600000000000002E-4</v>
      </c>
      <c r="F52" s="172">
        <f>ROUND(E52*INPUTS!D61,6)</f>
        <v>5.7200000000000003E-4</v>
      </c>
      <c r="G52" s="179"/>
      <c r="H52" s="158"/>
    </row>
    <row r="53" spans="1:8">
      <c r="B53" s="90" t="s">
        <v>14</v>
      </c>
      <c r="D53" s="207">
        <f>INPUTS!C65</f>
        <v>5.1232E-2</v>
      </c>
      <c r="E53" s="172">
        <f>ROUND((D$48/(1-D53)),6)</f>
        <v>5.2300000000000003E-4</v>
      </c>
      <c r="F53" s="172">
        <f>ROUND(E53*INPUTS!D61,6)</f>
        <v>5.5800000000000001E-4</v>
      </c>
      <c r="G53" s="179"/>
      <c r="H53" s="158"/>
    </row>
    <row r="54" spans="1:8">
      <c r="B54" s="90" t="s">
        <v>15</v>
      </c>
      <c r="D54" s="207">
        <f>INPUTS!C66</f>
        <v>2.9402000000000001E-2</v>
      </c>
      <c r="E54" s="172">
        <f>ROUND((D$48/(1-D54)),6)</f>
        <v>5.1099999999999995E-4</v>
      </c>
      <c r="F54" s="172">
        <f>ROUND(E54*INPUTS!D61,6)</f>
        <v>5.4500000000000002E-4</v>
      </c>
      <c r="G54" s="179"/>
      <c r="H54" s="158"/>
    </row>
    <row r="55" spans="1:8">
      <c r="B55" s="90" t="s">
        <v>16</v>
      </c>
      <c r="D55" s="207">
        <f>INPUTS!C67</f>
        <v>1.4590000000000001E-2</v>
      </c>
      <c r="E55" s="172">
        <f>ROUND((D$48/(1-D55)),6)</f>
        <v>5.0299999999999997E-4</v>
      </c>
      <c r="F55" s="172">
        <f>ROUND(E55*INPUTS!D61,6)</f>
        <v>5.3600000000000002E-4</v>
      </c>
      <c r="G55" s="179"/>
      <c r="H55" s="158"/>
    </row>
    <row r="56" spans="1:8">
      <c r="G56" s="179"/>
      <c r="H56" s="158"/>
    </row>
    <row r="57" spans="1:8">
      <c r="B57" s="201" t="s">
        <v>128</v>
      </c>
    </row>
    <row r="60" spans="1:8">
      <c r="A60" s="208"/>
      <c r="B60" s="214"/>
      <c r="C60" s="208"/>
    </row>
  </sheetData>
  <mergeCells count="5">
    <mergeCell ref="A3:I3"/>
    <mergeCell ref="A4:I4"/>
    <mergeCell ref="A5:I5"/>
    <mergeCell ref="E32:F32"/>
    <mergeCell ref="E50:F50"/>
  </mergeCells>
  <printOptions horizontalCentered="1"/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L65"/>
  <sheetViews>
    <sheetView view="pageBreakPreview" zoomScale="60" zoomScaleNormal="80" workbookViewId="0">
      <selection activeCell="F25" sqref="F25"/>
    </sheetView>
  </sheetViews>
  <sheetFormatPr defaultRowHeight="16.5"/>
  <cols>
    <col min="1" max="1" width="39.5703125" style="46" customWidth="1"/>
    <col min="2" max="2" width="19.42578125" style="46" customWidth="1"/>
    <col min="3" max="3" width="20.42578125" style="46" customWidth="1"/>
    <col min="4" max="4" width="21.140625" style="43" customWidth="1"/>
    <col min="5" max="5" width="18.140625" style="43" customWidth="1"/>
    <col min="6" max="6" width="23.42578125" style="43" customWidth="1"/>
    <col min="7" max="7" width="2.85546875" style="43" customWidth="1"/>
    <col min="8" max="8" width="22.42578125" style="43" customWidth="1"/>
    <col min="9" max="9" width="24.7109375" style="43" customWidth="1"/>
    <col min="10" max="10" width="9.140625" style="43"/>
    <col min="11" max="11" width="17.42578125" style="43" bestFit="1" customWidth="1"/>
    <col min="12" max="12" width="16" style="43" bestFit="1" customWidth="1"/>
    <col min="13" max="16384" width="9.140625" style="43"/>
  </cols>
  <sheetData>
    <row r="1" spans="1:9">
      <c r="I1" s="199" t="s">
        <v>51</v>
      </c>
    </row>
    <row r="2" spans="1:9">
      <c r="I2" s="184" t="s">
        <v>55</v>
      </c>
    </row>
    <row r="3" spans="1:9" ht="21" customHeight="1">
      <c r="B3" s="265"/>
      <c r="C3" s="266" t="s">
        <v>186</v>
      </c>
      <c r="D3" s="265"/>
      <c r="E3" s="81"/>
      <c r="F3" s="81"/>
    </row>
    <row r="4" spans="1:9" ht="42.75" customHeight="1">
      <c r="A4" s="30"/>
      <c r="B4" s="30"/>
      <c r="C4" s="30"/>
      <c r="D4" s="44"/>
      <c r="E4" s="44"/>
      <c r="F4" s="44"/>
      <c r="H4" s="374" t="s">
        <v>88</v>
      </c>
      <c r="I4" s="374"/>
    </row>
    <row r="5" spans="1:9" ht="49.5">
      <c r="A5" s="30"/>
      <c r="B5" s="128" t="s">
        <v>104</v>
      </c>
      <c r="C5" s="128" t="s">
        <v>105</v>
      </c>
      <c r="D5" s="132" t="s">
        <v>106</v>
      </c>
      <c r="E5" s="128" t="s">
        <v>107</v>
      </c>
      <c r="F5" s="128" t="s">
        <v>108</v>
      </c>
      <c r="G5" s="133"/>
      <c r="H5" s="134" t="s">
        <v>110</v>
      </c>
      <c r="I5" s="134" t="s">
        <v>109</v>
      </c>
    </row>
    <row r="6" spans="1:9">
      <c r="A6" s="271" t="str">
        <f>CONCATENATE(LEFT(INPUTS!D3,3),"-",RIGHT(INPUTS!D4,2))</f>
        <v>Aug-16</v>
      </c>
      <c r="B6" s="288">
        <f t="shared" ref="B6:B17" si="0">D6+C6</f>
        <v>4814888.9199999981</v>
      </c>
      <c r="C6" s="289">
        <f>INPUTS!D49</f>
        <v>39290.68</v>
      </c>
      <c r="D6" s="290">
        <f>('A-4-GAS (PAGE 1)'!B14+'A-4-ELECTRIC (PAGE 2)'!B14)*-1+E6</f>
        <v>4775598.2399999984</v>
      </c>
      <c r="E6" s="291">
        <f>INPUTS!D41</f>
        <v>0</v>
      </c>
      <c r="F6" s="288">
        <f t="shared" ref="F6:F17" si="1">D6-E6</f>
        <v>4775598.2399999984</v>
      </c>
      <c r="G6" s="292"/>
      <c r="H6" s="288">
        <f>(D6-E6)*0.6</f>
        <v>2865358.9439999987</v>
      </c>
      <c r="I6" s="288">
        <f>+F6-H6</f>
        <v>1910239.2959999996</v>
      </c>
    </row>
    <row r="7" spans="1:9">
      <c r="A7" s="271" t="str">
        <f>CONCATENATE(LEFT(INPUTS!E3,3),"-",RIGHT(INPUTS!E4,2))</f>
        <v>Sep-16</v>
      </c>
      <c r="B7" s="288">
        <f t="shared" si="0"/>
        <v>7031111.1156032793</v>
      </c>
      <c r="C7" s="289">
        <f>INPUTS!E49</f>
        <v>2329.17</v>
      </c>
      <c r="D7" s="290">
        <f>('A-4-GAS (PAGE 1)'!C14+'A-4-ELECTRIC (PAGE 2)'!C14)*-1+E7</f>
        <v>7028781.9456032794</v>
      </c>
      <c r="E7" s="291">
        <f>INPUTS!E41</f>
        <v>0</v>
      </c>
      <c r="F7" s="288">
        <f t="shared" si="1"/>
        <v>7028781.9456032794</v>
      </c>
      <c r="G7" s="292"/>
      <c r="H7" s="288">
        <f t="shared" ref="H7:H17" si="2">(D7-E7)*0.6</f>
        <v>4217269.1673619673</v>
      </c>
      <c r="I7" s="288">
        <f t="shared" ref="I7:I17" si="3">+F7-H7</f>
        <v>2811512.7782413121</v>
      </c>
    </row>
    <row r="8" spans="1:9">
      <c r="A8" s="271" t="str">
        <f>CONCATENATE(LEFT(INPUTS!F3,3),"-",RIGHT(INPUTS!F4,2))</f>
        <v>Oct-16</v>
      </c>
      <c r="B8" s="288">
        <f t="shared" si="0"/>
        <v>5468103.9099999992</v>
      </c>
      <c r="C8" s="289">
        <f>INPUTS!F49</f>
        <v>23860.800000000003</v>
      </c>
      <c r="D8" s="288">
        <f>('A-4-GAS (PAGE 1)'!D14+'A-4-ELECTRIC (PAGE 2)'!D14)*-1+E8</f>
        <v>5444243.1099999994</v>
      </c>
      <c r="E8" s="291">
        <f>INPUTS!F41</f>
        <v>0</v>
      </c>
      <c r="F8" s="288">
        <f t="shared" si="1"/>
        <v>5444243.1099999994</v>
      </c>
      <c r="G8" s="292"/>
      <c r="H8" s="288">
        <f t="shared" si="2"/>
        <v>3266545.8659999995</v>
      </c>
      <c r="I8" s="288">
        <f t="shared" si="3"/>
        <v>2177697.2439999999</v>
      </c>
    </row>
    <row r="9" spans="1:9">
      <c r="A9" s="271" t="str">
        <f>CONCATENATE(LEFT(INPUTS!G3,3),"-",RIGHT(INPUTS!G4,2))</f>
        <v>Nov-16</v>
      </c>
      <c r="B9" s="288">
        <f t="shared" si="0"/>
        <v>8273568.5499999998</v>
      </c>
      <c r="C9" s="289">
        <f>INPUTS!G49</f>
        <v>445623.75999999995</v>
      </c>
      <c r="D9" s="288">
        <f>('A-4-GAS (PAGE 1)'!E$14+'A-4-ELECTRIC (PAGE 2)'!E$14)*-1+E9</f>
        <v>7827944.79</v>
      </c>
      <c r="E9" s="291">
        <f>INPUTS!G41</f>
        <v>0</v>
      </c>
      <c r="F9" s="288">
        <f t="shared" si="1"/>
        <v>7827944.79</v>
      </c>
      <c r="G9" s="292"/>
      <c r="H9" s="288">
        <f t="shared" si="2"/>
        <v>4696766.8739999998</v>
      </c>
      <c r="I9" s="288">
        <f t="shared" si="3"/>
        <v>3131177.9160000002</v>
      </c>
    </row>
    <row r="10" spans="1:9">
      <c r="A10" s="271" t="str">
        <f>CONCATENATE(LEFT(INPUTS!H3,3),"-",RIGHT(INPUTS!H4,2))</f>
        <v>Dec-16</v>
      </c>
      <c r="B10" s="288">
        <f t="shared" si="0"/>
        <v>6818770.1699999999</v>
      </c>
      <c r="C10" s="289">
        <f>INPUTS!H49</f>
        <v>2329.17</v>
      </c>
      <c r="D10" s="288">
        <f>('A-4-GAS (PAGE 1)'!F14+'A-4-ELECTRIC (PAGE 2)'!F14)*-1+E10</f>
        <v>6816441</v>
      </c>
      <c r="E10" s="291">
        <f>INPUTS!H41</f>
        <v>0</v>
      </c>
      <c r="F10" s="288">
        <f t="shared" si="1"/>
        <v>6816441</v>
      </c>
      <c r="G10" s="292"/>
      <c r="H10" s="288">
        <f t="shared" si="2"/>
        <v>4089864.5999999996</v>
      </c>
      <c r="I10" s="288">
        <f t="shared" si="3"/>
        <v>2726576.4000000004</v>
      </c>
    </row>
    <row r="11" spans="1:9">
      <c r="A11" s="271" t="str">
        <f>CONCATENATE(LEFT(INPUTS!I3,3),"-",RIGHT(INPUTS!I4,2))</f>
        <v>Jan-17</v>
      </c>
      <c r="B11" s="288">
        <f t="shared" si="0"/>
        <v>7625593.3379999995</v>
      </c>
      <c r="C11" s="289">
        <f>INPUTS!I49</f>
        <v>2329.17</v>
      </c>
      <c r="D11" s="288">
        <f>('A-4-GAS (PAGE 1)'!G14+'A-4-ELECTRIC (PAGE 2)'!G14)*-1+E11</f>
        <v>7623264.1679999996</v>
      </c>
      <c r="E11" s="291">
        <f>INPUTS!I41</f>
        <v>6000000</v>
      </c>
      <c r="F11" s="288">
        <f t="shared" si="1"/>
        <v>1623264.1679999996</v>
      </c>
      <c r="G11" s="292"/>
      <c r="H11" s="288">
        <f t="shared" si="2"/>
        <v>973958.50079999969</v>
      </c>
      <c r="I11" s="288">
        <f t="shared" si="3"/>
        <v>649305.66719999991</v>
      </c>
    </row>
    <row r="12" spans="1:9">
      <c r="A12" s="271" t="str">
        <f>CONCATENATE(LEFT(INPUTS!J3,3),"-",RIGHT(INPUTS!J4,2))</f>
        <v>Feb-17</v>
      </c>
      <c r="B12" s="288">
        <f t="shared" si="0"/>
        <v>4278446.0940000005</v>
      </c>
      <c r="C12" s="289">
        <f>INPUTS!J49</f>
        <v>263401.73</v>
      </c>
      <c r="D12" s="288">
        <f>('A-4-GAS (PAGE 1)'!H14+'A-4-ELECTRIC (PAGE 2)'!H14)*-1+E12</f>
        <v>4015044.3640000001</v>
      </c>
      <c r="E12" s="291">
        <f>INPUTS!J41</f>
        <v>0</v>
      </c>
      <c r="F12" s="288">
        <f t="shared" si="1"/>
        <v>4015044.3640000001</v>
      </c>
      <c r="G12" s="292"/>
      <c r="H12" s="288">
        <f t="shared" si="2"/>
        <v>2409026.6184</v>
      </c>
      <c r="I12" s="288">
        <f t="shared" si="3"/>
        <v>1606017.7456</v>
      </c>
    </row>
    <row r="13" spans="1:9" s="45" customFormat="1">
      <c r="A13" s="271" t="str">
        <f>CONCATENATE(LEFT(INPUTS!K3,3),"-",RIGHT(INPUTS!K4,2))</f>
        <v>Mar-17</v>
      </c>
      <c r="B13" s="288">
        <f t="shared" si="0"/>
        <v>5698680.1699999999</v>
      </c>
      <c r="C13" s="289">
        <f>INPUTS!K49</f>
        <v>2329.17</v>
      </c>
      <c r="D13" s="288">
        <f>('A-4-GAS (PAGE 1)'!I14+'A-4-ELECTRIC (PAGE 2)'!I14)*-1+E13</f>
        <v>5696351</v>
      </c>
      <c r="E13" s="291">
        <f>INPUTS!K41</f>
        <v>0</v>
      </c>
      <c r="F13" s="288">
        <f t="shared" si="1"/>
        <v>5696351</v>
      </c>
      <c r="G13" s="292"/>
      <c r="H13" s="288">
        <f t="shared" si="2"/>
        <v>3417810.6</v>
      </c>
      <c r="I13" s="288">
        <f t="shared" si="3"/>
        <v>2278540.4</v>
      </c>
    </row>
    <row r="14" spans="1:9">
      <c r="A14" s="271" t="str">
        <f>CONCATENATE(LEFT(INPUTS!L3,3),"-",RIGHT(INPUTS!L4,2))</f>
        <v>Apr-17</v>
      </c>
      <c r="B14" s="288">
        <f t="shared" si="0"/>
        <v>3984785.452</v>
      </c>
      <c r="C14" s="289">
        <f>INPUTS!L49</f>
        <v>2329.17</v>
      </c>
      <c r="D14" s="288">
        <f>('A-4-GAS (PAGE 1)'!J14+'A-4-ELECTRIC (PAGE 2)'!J14)*-1+E14</f>
        <v>3982456.2820000001</v>
      </c>
      <c r="E14" s="291">
        <f>INPUTS!L41</f>
        <v>0</v>
      </c>
      <c r="F14" s="288">
        <f t="shared" si="1"/>
        <v>3982456.2820000001</v>
      </c>
      <c r="G14" s="292"/>
      <c r="H14" s="288">
        <f t="shared" si="2"/>
        <v>2389473.7692</v>
      </c>
      <c r="I14" s="288">
        <f t="shared" si="3"/>
        <v>1592982.5128000001</v>
      </c>
    </row>
    <row r="15" spans="1:9">
      <c r="A15" s="271" t="str">
        <f>CONCATENATE(LEFT(INPUTS!M3,3),"-",RIGHT(INPUTS!M4,2))</f>
        <v>May-17</v>
      </c>
      <c r="B15" s="288">
        <f t="shared" si="0"/>
        <v>3349641.77</v>
      </c>
      <c r="C15" s="289">
        <f>INPUTS!M49</f>
        <v>308550.76999999996</v>
      </c>
      <c r="D15" s="288">
        <f>('A-4-GAS (PAGE 1)'!K$14+'A-4-ELECTRIC (PAGE 2)'!K$14)*-1+E15</f>
        <v>3041091</v>
      </c>
      <c r="E15" s="291">
        <f>INPUTS!M41</f>
        <v>0</v>
      </c>
      <c r="F15" s="288">
        <f t="shared" si="1"/>
        <v>3041091</v>
      </c>
      <c r="G15" s="292"/>
      <c r="H15" s="288">
        <f t="shared" si="2"/>
        <v>1824654.5999999999</v>
      </c>
      <c r="I15" s="288">
        <f t="shared" si="3"/>
        <v>1216436.4000000001</v>
      </c>
    </row>
    <row r="16" spans="1:9">
      <c r="A16" s="271" t="str">
        <f>CONCATENATE(LEFT(INPUTS!N3,3),"-",RIGHT(INPUTS!N4,2))</f>
        <v>Jun-17</v>
      </c>
      <c r="B16" s="288">
        <f t="shared" si="0"/>
        <v>4903279.17</v>
      </c>
      <c r="C16" s="289">
        <f>INPUTS!N49</f>
        <v>5029.17</v>
      </c>
      <c r="D16" s="288">
        <f>(('A-4-GAS (PAGE 1)'!L$14+'A-4-ELECTRIC (PAGE 2)'!L$14)*-1)+E16</f>
        <v>4898250</v>
      </c>
      <c r="E16" s="291">
        <f>INPUTS!N41</f>
        <v>0</v>
      </c>
      <c r="F16" s="288">
        <f t="shared" si="1"/>
        <v>4898250</v>
      </c>
      <c r="G16" s="292"/>
      <c r="H16" s="288">
        <f t="shared" si="2"/>
        <v>2938950</v>
      </c>
      <c r="I16" s="288">
        <f t="shared" si="3"/>
        <v>1959300</v>
      </c>
    </row>
    <row r="17" spans="1:12">
      <c r="A17" s="271" t="str">
        <f>CONCATENATE(LEFT(INPUTS!O3,3),"-",RIGHT(INPUTS!O4,2))</f>
        <v>Jul-17</v>
      </c>
      <c r="B17" s="288">
        <f t="shared" si="0"/>
        <v>2606761.8640000001</v>
      </c>
      <c r="C17" s="289">
        <f>INPUTS!O49</f>
        <v>54250</v>
      </c>
      <c r="D17" s="288">
        <f>('A-4-GAS (PAGE 1)'!M14+'A-4-ELECTRIC (PAGE 2)'!M14)*-1+E17</f>
        <v>2552511.8640000001</v>
      </c>
      <c r="E17" s="291">
        <f>INPUTS!O41</f>
        <v>0</v>
      </c>
      <c r="F17" s="288">
        <f t="shared" si="1"/>
        <v>2552511.8640000001</v>
      </c>
      <c r="G17" s="292"/>
      <c r="H17" s="288">
        <f t="shared" si="2"/>
        <v>1531507.1184</v>
      </c>
      <c r="I17" s="288">
        <f t="shared" si="3"/>
        <v>1021004.7456</v>
      </c>
    </row>
    <row r="18" spans="1:12">
      <c r="A18" s="270" t="s">
        <v>165</v>
      </c>
      <c r="B18" s="293"/>
      <c r="C18" s="293"/>
      <c r="D18" s="293"/>
      <c r="E18" s="355">
        <f>INPUTS!C50</f>
        <v>7441.8224766067033</v>
      </c>
      <c r="F18" s="288">
        <f>INPUTS!D50</f>
        <v>-7441.8224766067033</v>
      </c>
      <c r="G18" s="292"/>
      <c r="H18" s="294" t="s">
        <v>87</v>
      </c>
      <c r="I18" s="294" t="s">
        <v>87</v>
      </c>
    </row>
    <row r="19" spans="1:12" ht="17.25" thickBot="1">
      <c r="A19" s="126" t="s">
        <v>5</v>
      </c>
      <c r="B19" s="295">
        <f>SUM(B6:B17)</f>
        <v>64853630.523603283</v>
      </c>
      <c r="C19" s="295">
        <f>SUM(C6:C17)</f>
        <v>1151652.76</v>
      </c>
      <c r="D19" s="295">
        <f>SUM(D6:D17)+1</f>
        <v>63701978.76360327</v>
      </c>
      <c r="E19" s="296">
        <f>SUM(E6:E18)</f>
        <v>6007441.8224766068</v>
      </c>
      <c r="F19" s="295">
        <f>SUM(F6:F18)</f>
        <v>57694535.941126667</v>
      </c>
      <c r="G19" s="292"/>
      <c r="H19" s="295">
        <f>SUM(H6:H18)</f>
        <v>34621186.658161968</v>
      </c>
      <c r="I19" s="295">
        <f>SUM(I6:I18)</f>
        <v>23080791.10544131</v>
      </c>
      <c r="K19" s="194"/>
      <c r="L19" s="194"/>
    </row>
    <row r="20" spans="1:12" ht="50.25" thickTop="1">
      <c r="D20" s="31"/>
      <c r="F20" s="131" t="s">
        <v>103</v>
      </c>
      <c r="H20" s="180" t="s">
        <v>101</v>
      </c>
      <c r="I20" s="180" t="s">
        <v>102</v>
      </c>
    </row>
    <row r="21" spans="1:12">
      <c r="D21" s="31"/>
    </row>
    <row r="22" spans="1:12">
      <c r="D22" s="31"/>
    </row>
    <row r="23" spans="1:12">
      <c r="A23" s="47" t="s">
        <v>33</v>
      </c>
      <c r="D23" s="78"/>
      <c r="F23" s="335"/>
    </row>
    <row r="24" spans="1:12">
      <c r="A24" s="186" t="s">
        <v>119</v>
      </c>
      <c r="C24" s="298">
        <f>INPUTS!C42</f>
        <v>21531.63</v>
      </c>
      <c r="D24" s="78"/>
      <c r="F24" s="334"/>
    </row>
    <row r="25" spans="1:12">
      <c r="A25" s="196" t="s">
        <v>38</v>
      </c>
      <c r="B25" s="48"/>
      <c r="C25" s="298">
        <f>INPUTS!C43</f>
        <v>0</v>
      </c>
      <c r="D25" s="49"/>
      <c r="F25" s="334"/>
    </row>
    <row r="26" spans="1:12">
      <c r="A26" s="196" t="s">
        <v>31</v>
      </c>
      <c r="C26" s="298">
        <f>INPUTS!C44</f>
        <v>27950.04</v>
      </c>
      <c r="D26" s="50"/>
      <c r="F26" s="334"/>
    </row>
    <row r="27" spans="1:12">
      <c r="A27" s="373" t="s">
        <v>32</v>
      </c>
      <c r="B27" s="373"/>
      <c r="C27" s="298">
        <f>INPUTS!C45</f>
        <v>1044321.6</v>
      </c>
      <c r="D27" s="51"/>
      <c r="E27" s="52"/>
      <c r="F27" s="334"/>
    </row>
    <row r="28" spans="1:12">
      <c r="A28" s="196" t="s">
        <v>36</v>
      </c>
      <c r="C28" s="298">
        <f>INPUTS!C46</f>
        <v>2700</v>
      </c>
      <c r="D28" s="50"/>
      <c r="E28" s="53"/>
      <c r="F28" s="334"/>
    </row>
    <row r="29" spans="1:12">
      <c r="A29" s="149" t="s">
        <v>177</v>
      </c>
      <c r="C29" s="334">
        <f>INPUTS!C48</f>
        <v>900</v>
      </c>
      <c r="E29" s="53"/>
      <c r="F29" s="334"/>
    </row>
    <row r="30" spans="1:12">
      <c r="A30" s="149" t="s">
        <v>173</v>
      </c>
      <c r="C30" s="326">
        <f>INPUTS!C47</f>
        <v>54250</v>
      </c>
      <c r="E30" s="53"/>
      <c r="F30" s="335"/>
    </row>
    <row r="31" spans="1:12" ht="17.25" thickBot="1">
      <c r="A31" s="54" t="s">
        <v>98</v>
      </c>
      <c r="C31" s="299">
        <f>SUM(C24:C30)</f>
        <v>1151653.27</v>
      </c>
      <c r="D31" s="125" t="s">
        <v>53</v>
      </c>
    </row>
    <row r="32" spans="1:12" ht="17.25" thickTop="1">
      <c r="A32" s="47" t="s">
        <v>35</v>
      </c>
      <c r="C32" s="298"/>
    </row>
    <row r="33" spans="1:7">
      <c r="A33" s="149" t="s">
        <v>159</v>
      </c>
      <c r="C33" s="298">
        <f>E18</f>
        <v>7441.8224766067033</v>
      </c>
      <c r="D33" s="356"/>
    </row>
    <row r="34" spans="1:7">
      <c r="A34" s="55" t="s">
        <v>34</v>
      </c>
      <c r="B34" s="55"/>
      <c r="C34" s="300">
        <f>E19-E18</f>
        <v>6000000</v>
      </c>
      <c r="D34" s="31"/>
    </row>
    <row r="35" spans="1:7" ht="17.25" thickBot="1">
      <c r="A35" s="54" t="s">
        <v>97</v>
      </c>
      <c r="B35" s="30"/>
      <c r="C35" s="301">
        <f>SUM(C33:C34)</f>
        <v>6007441.8224766068</v>
      </c>
      <c r="D35" s="125" t="s">
        <v>54</v>
      </c>
    </row>
    <row r="36" spans="1:7" ht="17.25" thickTop="1">
      <c r="A36" s="70"/>
      <c r="C36" s="302"/>
    </row>
    <row r="37" spans="1:7" ht="17.25" thickBot="1">
      <c r="A37" s="267" t="s">
        <v>160</v>
      </c>
      <c r="C37" s="303">
        <f>C31+C35</f>
        <v>7159095.0924766064</v>
      </c>
      <c r="D37" s="125" t="s">
        <v>96</v>
      </c>
    </row>
    <row r="38" spans="1:7" ht="17.25" thickTop="1">
      <c r="A38" s="70"/>
      <c r="C38" s="297"/>
      <c r="D38" s="31"/>
    </row>
    <row r="39" spans="1:7">
      <c r="A39" s="70"/>
      <c r="D39" s="31"/>
    </row>
    <row r="40" spans="1:7">
      <c r="A40" s="29" t="s">
        <v>161</v>
      </c>
      <c r="D40" s="31"/>
    </row>
    <row r="41" spans="1:7">
      <c r="A41" s="201" t="s">
        <v>128</v>
      </c>
      <c r="B41" s="30"/>
      <c r="C41" s="30"/>
      <c r="D41" s="31"/>
      <c r="G41" s="56"/>
    </row>
    <row r="42" spans="1:7">
      <c r="A42" s="30"/>
      <c r="B42" s="30"/>
      <c r="C42" s="30"/>
      <c r="D42" s="31"/>
    </row>
    <row r="43" spans="1:7">
      <c r="A43" s="29"/>
      <c r="B43" s="30"/>
      <c r="C43" s="30"/>
      <c r="D43" s="31"/>
    </row>
    <row r="44" spans="1:7">
      <c r="A44" s="30"/>
      <c r="B44" s="30"/>
      <c r="C44" s="30"/>
      <c r="D44" s="31"/>
    </row>
    <row r="45" spans="1:7">
      <c r="A45" s="30"/>
      <c r="B45" s="30"/>
      <c r="C45" s="30"/>
      <c r="D45" s="31"/>
    </row>
    <row r="46" spans="1:7">
      <c r="A46" s="30"/>
      <c r="B46" s="30"/>
      <c r="C46" s="30"/>
      <c r="D46" s="31"/>
    </row>
    <row r="47" spans="1:7">
      <c r="A47" s="30"/>
      <c r="B47" s="30"/>
      <c r="C47" s="30"/>
      <c r="D47" s="31"/>
    </row>
    <row r="48" spans="1:7">
      <c r="A48" s="30"/>
      <c r="B48" s="30"/>
      <c r="C48" s="30"/>
      <c r="D48" s="31"/>
    </row>
    <row r="49" spans="1:4">
      <c r="A49" s="30"/>
      <c r="B49" s="30"/>
      <c r="C49" s="30"/>
      <c r="D49" s="31"/>
    </row>
    <row r="50" spans="1:4">
      <c r="A50" s="30"/>
      <c r="B50" s="30"/>
      <c r="C50" s="30"/>
      <c r="D50" s="31"/>
    </row>
    <row r="51" spans="1:4">
      <c r="A51" s="30"/>
      <c r="B51" s="30"/>
      <c r="C51" s="30"/>
      <c r="D51" s="31"/>
    </row>
    <row r="52" spans="1:4">
      <c r="A52" s="30"/>
      <c r="B52" s="30"/>
      <c r="C52" s="30"/>
      <c r="D52" s="31"/>
    </row>
    <row r="53" spans="1:4">
      <c r="A53" s="30"/>
      <c r="B53" s="30"/>
      <c r="C53" s="30"/>
      <c r="D53" s="31"/>
    </row>
    <row r="54" spans="1:4">
      <c r="A54" s="30"/>
      <c r="B54" s="30"/>
      <c r="C54" s="30"/>
      <c r="D54" s="31"/>
    </row>
    <row r="55" spans="1:4">
      <c r="A55" s="30"/>
      <c r="B55" s="30"/>
      <c r="C55" s="30"/>
      <c r="D55" s="31"/>
    </row>
    <row r="56" spans="1:4">
      <c r="A56" s="30"/>
      <c r="B56" s="30"/>
      <c r="C56" s="30"/>
      <c r="D56" s="31"/>
    </row>
    <row r="57" spans="1:4">
      <c r="A57" s="30"/>
      <c r="B57" s="30"/>
      <c r="C57" s="30"/>
      <c r="D57" s="31"/>
    </row>
    <row r="58" spans="1:4">
      <c r="A58" s="30"/>
      <c r="B58" s="30"/>
      <c r="C58" s="30"/>
      <c r="D58" s="31"/>
    </row>
    <row r="59" spans="1:4">
      <c r="A59" s="30"/>
      <c r="B59" s="30"/>
      <c r="C59" s="30"/>
      <c r="D59" s="31"/>
    </row>
    <row r="60" spans="1:4">
      <c r="A60" s="30"/>
      <c r="B60" s="30"/>
      <c r="C60" s="30"/>
      <c r="D60" s="31"/>
    </row>
    <row r="61" spans="1:4">
      <c r="A61" s="30"/>
      <c r="B61" s="30"/>
      <c r="C61" s="30"/>
      <c r="D61" s="31"/>
    </row>
    <row r="62" spans="1:4">
      <c r="A62" s="30"/>
      <c r="B62" s="30"/>
      <c r="C62" s="30"/>
      <c r="D62" s="31"/>
    </row>
    <row r="63" spans="1:4">
      <c r="A63" s="30"/>
      <c r="B63" s="30"/>
      <c r="C63" s="30"/>
      <c r="D63" s="31"/>
    </row>
    <row r="64" spans="1:4">
      <c r="A64" s="30"/>
      <c r="B64" s="30"/>
      <c r="C64" s="30"/>
      <c r="D64" s="31"/>
    </row>
    <row r="65" spans="1:4">
      <c r="A65" s="30"/>
      <c r="B65" s="30"/>
      <c r="C65" s="30"/>
      <c r="D65" s="31"/>
    </row>
  </sheetData>
  <mergeCells count="2">
    <mergeCell ref="A27:B27"/>
    <mergeCell ref="H4:I4"/>
  </mergeCells>
  <phoneticPr fontId="3" type="noConversion"/>
  <printOptions horizontalCentered="1"/>
  <pageMargins left="0.25" right="0.25" top="1.06" bottom="1" header="0.5" footer="0.5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I46"/>
  <sheetViews>
    <sheetView view="pageBreakPreview" zoomScale="60" zoomScaleNormal="100" workbookViewId="0">
      <selection activeCell="A38" sqref="A38"/>
    </sheetView>
  </sheetViews>
  <sheetFormatPr defaultRowHeight="12.75"/>
  <cols>
    <col min="1" max="1" width="46.140625" style="23" customWidth="1"/>
    <col min="2" max="2" width="23.140625" style="23" customWidth="1"/>
    <col min="3" max="3" width="4.85546875" style="23" customWidth="1"/>
    <col min="4" max="4" width="17.42578125" style="23" customWidth="1"/>
    <col min="5" max="5" width="17" style="23" customWidth="1"/>
    <col min="6" max="6" width="2.85546875" style="23" hidden="1" customWidth="1"/>
    <col min="7" max="7" width="18.5703125" style="23" customWidth="1"/>
    <col min="8" max="8" width="14.5703125" style="23" customWidth="1"/>
    <col min="9" max="9" width="13.140625" style="23" customWidth="1"/>
    <col min="10" max="16384" width="9.140625" style="23"/>
  </cols>
  <sheetData>
    <row r="1" spans="1:9" ht="21" customHeight="1">
      <c r="H1" s="72" t="s">
        <v>51</v>
      </c>
    </row>
    <row r="2" spans="1:9" ht="16.5">
      <c r="I2" s="184" t="s">
        <v>81</v>
      </c>
    </row>
    <row r="3" spans="1:9" ht="21" customHeight="1">
      <c r="A3" s="381" t="str">
        <f>INPUTS!C37</f>
        <v xml:space="preserve">TRUE-UP OF RAC 24 </v>
      </c>
      <c r="B3" s="381"/>
      <c r="C3" s="381"/>
      <c r="D3" s="381"/>
      <c r="E3" s="381"/>
      <c r="F3" s="381"/>
      <c r="G3" s="381"/>
      <c r="H3" s="381"/>
    </row>
    <row r="4" spans="1:9" ht="18">
      <c r="A4" s="382" t="str">
        <f>INPUTS!C38</f>
        <v>AUGUST 2015 THROUGH JULY 2016</v>
      </c>
      <c r="B4" s="382"/>
      <c r="C4" s="382"/>
      <c r="D4" s="382"/>
      <c r="E4" s="382"/>
      <c r="F4" s="382"/>
      <c r="G4" s="382"/>
      <c r="H4" s="382"/>
    </row>
    <row r="5" spans="1:9" ht="15.75">
      <c r="C5" s="181" t="s">
        <v>83</v>
      </c>
    </row>
    <row r="9" spans="1:9" ht="16.5">
      <c r="G9" s="75" t="s">
        <v>17</v>
      </c>
      <c r="H9" s="75" t="s">
        <v>18</v>
      </c>
    </row>
    <row r="10" spans="1:9">
      <c r="G10" s="182"/>
      <c r="H10" s="182"/>
    </row>
    <row r="11" spans="1:9">
      <c r="G11" s="182"/>
      <c r="H11" s="182"/>
    </row>
    <row r="12" spans="1:9" ht="16.5">
      <c r="A12" s="45" t="s">
        <v>113</v>
      </c>
      <c r="B12" s="304"/>
      <c r="C12" s="146"/>
      <c r="D12" s="383"/>
      <c r="E12" s="384"/>
      <c r="F12" s="257"/>
      <c r="G12" s="305">
        <f>INPUTS!C34</f>
        <v>33318.211915071675</v>
      </c>
      <c r="H12" s="305">
        <f>INPUTS!C35</f>
        <v>20398.421970205949</v>
      </c>
      <c r="I12" s="183"/>
    </row>
    <row r="13" spans="1:9" ht="16.5">
      <c r="A13" s="73"/>
      <c r="B13" s="304"/>
      <c r="C13" s="146"/>
      <c r="D13" s="146"/>
      <c r="E13" s="146"/>
      <c r="F13" s="257"/>
      <c r="G13" s="306"/>
      <c r="H13" s="306"/>
    </row>
    <row r="14" spans="1:9" ht="16.5">
      <c r="A14" s="73"/>
      <c r="B14" s="304"/>
      <c r="C14" s="146"/>
      <c r="D14" s="146"/>
      <c r="E14" s="146"/>
      <c r="F14" s="257"/>
      <c r="G14" s="307"/>
      <c r="H14" s="307"/>
    </row>
    <row r="15" spans="1:9" ht="16.5">
      <c r="A15" s="73" t="s">
        <v>19</v>
      </c>
      <c r="B15" s="304" t="s">
        <v>46</v>
      </c>
      <c r="C15" s="146"/>
      <c r="D15" s="383" t="s">
        <v>85</v>
      </c>
      <c r="E15" s="384"/>
      <c r="F15" s="257"/>
      <c r="G15" s="308">
        <f>D44/1000</f>
        <v>25943.083147297868</v>
      </c>
      <c r="H15" s="307"/>
    </row>
    <row r="16" spans="1:9" ht="16.5">
      <c r="A16" s="73"/>
      <c r="B16" s="304"/>
      <c r="C16" s="146"/>
      <c r="D16" s="146"/>
      <c r="E16" s="146"/>
      <c r="F16" s="257"/>
      <c r="G16" s="307"/>
      <c r="H16" s="307"/>
    </row>
    <row r="17" spans="1:8" ht="16.5">
      <c r="A17" s="73"/>
      <c r="B17" s="304"/>
      <c r="C17" s="146"/>
      <c r="D17" s="146"/>
      <c r="E17" s="146"/>
      <c r="F17" s="257"/>
      <c r="G17" s="307"/>
      <c r="H17" s="307"/>
    </row>
    <row r="18" spans="1:8" ht="16.5">
      <c r="A18" s="73" t="s">
        <v>19</v>
      </c>
      <c r="B18" s="304" t="s">
        <v>48</v>
      </c>
      <c r="C18" s="146"/>
      <c r="D18" s="383" t="s">
        <v>85</v>
      </c>
      <c r="E18" s="384"/>
      <c r="F18" s="257"/>
      <c r="G18" s="307"/>
      <c r="H18" s="308">
        <f>E44/1000</f>
        <v>20446.895868034575</v>
      </c>
    </row>
    <row r="19" spans="1:8" ht="16.5">
      <c r="A19" s="73"/>
      <c r="B19" s="304"/>
      <c r="C19" s="146"/>
      <c r="D19" s="146"/>
      <c r="E19" s="146"/>
      <c r="F19" s="257"/>
      <c r="G19" s="307"/>
      <c r="H19" s="307"/>
    </row>
    <row r="20" spans="1:8" ht="16.5">
      <c r="A20" s="73"/>
      <c r="B20" s="304"/>
      <c r="C20" s="146"/>
      <c r="D20" s="146"/>
      <c r="E20" s="146"/>
      <c r="F20" s="257"/>
      <c r="G20" s="307"/>
      <c r="H20" s="307"/>
    </row>
    <row r="21" spans="1:8" ht="17.25" thickBot="1">
      <c r="A21" s="45" t="s">
        <v>123</v>
      </c>
      <c r="B21" s="304"/>
      <c r="C21" s="146"/>
      <c r="D21" s="146"/>
      <c r="E21" s="146"/>
      <c r="F21" s="257"/>
      <c r="G21" s="309">
        <f>SUM(G12-G15-G18)</f>
        <v>7375.1287677738073</v>
      </c>
      <c r="H21" s="309">
        <f>SUM(H12-H18)</f>
        <v>-48.473897828625923</v>
      </c>
    </row>
    <row r="22" spans="1:8" ht="35.25" customHeight="1">
      <c r="A22" s="40"/>
      <c r="B22" s="146"/>
      <c r="C22" s="146"/>
      <c r="D22" s="146"/>
      <c r="E22" s="146"/>
      <c r="F22" s="257"/>
      <c r="G22" s="385" t="s">
        <v>86</v>
      </c>
      <c r="H22" s="385"/>
    </row>
    <row r="23" spans="1:8">
      <c r="B23" s="257"/>
      <c r="C23" s="257"/>
      <c r="D23" s="257"/>
      <c r="E23" s="257"/>
      <c r="F23" s="257"/>
      <c r="G23" s="257"/>
      <c r="H23" s="257"/>
    </row>
    <row r="24" spans="1:8">
      <c r="B24" s="257"/>
      <c r="C24" s="257"/>
      <c r="D24" s="257"/>
      <c r="E24" s="257"/>
      <c r="F24" s="257"/>
      <c r="G24" s="257"/>
      <c r="H24" s="257"/>
    </row>
    <row r="25" spans="1:8">
      <c r="B25" s="257"/>
      <c r="C25" s="257"/>
      <c r="D25" s="257"/>
      <c r="E25" s="257"/>
      <c r="F25" s="257"/>
      <c r="G25" s="257"/>
      <c r="H25" s="257"/>
    </row>
    <row r="26" spans="1:8">
      <c r="B26" s="257"/>
      <c r="C26" s="257"/>
      <c r="D26" s="257"/>
      <c r="E26" s="257"/>
      <c r="F26" s="257"/>
      <c r="G26" s="257"/>
      <c r="H26" s="257"/>
    </row>
    <row r="27" spans="1:8" ht="16.5">
      <c r="B27" s="379" t="s">
        <v>158</v>
      </c>
      <c r="C27" s="380"/>
      <c r="D27" s="380"/>
      <c r="E27" s="380"/>
      <c r="F27" s="380"/>
      <c r="G27" s="380"/>
      <c r="H27" s="257"/>
    </row>
    <row r="28" spans="1:8" ht="16.5">
      <c r="B28" s="307"/>
      <c r="C28" s="307"/>
      <c r="D28" s="307"/>
      <c r="E28" s="307"/>
      <c r="F28" s="307"/>
      <c r="G28" s="307"/>
      <c r="H28" s="257"/>
    </row>
    <row r="29" spans="1:8" ht="16.5">
      <c r="B29" s="307"/>
      <c r="C29" s="307"/>
      <c r="D29" s="310" t="s">
        <v>47</v>
      </c>
      <c r="E29" s="310" t="s">
        <v>49</v>
      </c>
      <c r="F29" s="307"/>
      <c r="G29" s="310" t="s">
        <v>5</v>
      </c>
      <c r="H29" s="257"/>
    </row>
    <row r="30" spans="1:8" ht="16.5">
      <c r="B30" s="307"/>
      <c r="C30" s="307"/>
      <c r="D30" s="307"/>
      <c r="E30" s="307"/>
      <c r="F30" s="307"/>
      <c r="G30" s="307"/>
      <c r="H30" s="257"/>
    </row>
    <row r="31" spans="1:8" ht="16.5">
      <c r="B31" s="311" t="str">
        <f>CONCATENATE(LEFT(INPUTS!F3,3),"-",RIGHT(INPUTS!F4,2))</f>
        <v>Oct-16</v>
      </c>
      <c r="C31" s="312"/>
      <c r="D31" s="269">
        <f t="array" ref="D31:D42">TRANSPOSE(INPUTS!$F$26:$Q$26)</f>
        <v>1319431.5389596843</v>
      </c>
      <c r="E31" s="269">
        <f t="array" ref="E31:E42">TRANSPOSE(INPUTS!F19:Q19)</f>
        <v>1589356.9680546164</v>
      </c>
      <c r="F31" s="313"/>
      <c r="G31" s="313">
        <f t="shared" ref="G31:G42" si="0">(D31+E31)</f>
        <v>2908788.5070143007</v>
      </c>
      <c r="H31" s="257"/>
    </row>
    <row r="32" spans="1:8" ht="16.5">
      <c r="B32" s="311" t="str">
        <f>CONCATENATE(LEFT(INPUTS!G3,3),"-",RIGHT(INPUTS!G4,2))</f>
        <v>Nov-16</v>
      </c>
      <c r="C32" s="312"/>
      <c r="D32" s="269">
        <v>2412890.1700922772</v>
      </c>
      <c r="E32" s="269">
        <v>1480111.1252386668</v>
      </c>
      <c r="F32" s="313"/>
      <c r="G32" s="313">
        <f t="shared" si="0"/>
        <v>3893001.295330944</v>
      </c>
      <c r="H32" s="257"/>
    </row>
    <row r="33" spans="1:8" ht="16.5">
      <c r="B33" s="311" t="str">
        <f>CONCATENATE(LEFT(INPUTS!H3,3),"-",RIGHT(INPUTS!H4,2))</f>
        <v>Dec-16</v>
      </c>
      <c r="C33" s="312"/>
      <c r="D33" s="269">
        <v>4058278.5437099119</v>
      </c>
      <c r="E33" s="269">
        <v>1690238.9792635876</v>
      </c>
      <c r="F33" s="313"/>
      <c r="G33" s="313">
        <f t="shared" si="0"/>
        <v>5748517.5229734993</v>
      </c>
      <c r="H33" s="257"/>
    </row>
    <row r="34" spans="1:8" ht="16.5">
      <c r="B34" s="311" t="str">
        <f>CONCATENATE(LEFT(INPUTS!I3,3),"-",RIGHT(INPUTS!I4,2))</f>
        <v>Jan-17</v>
      </c>
      <c r="C34" s="312"/>
      <c r="D34" s="269">
        <v>4144272.2750667864</v>
      </c>
      <c r="E34" s="269">
        <v>1737696.6775451454</v>
      </c>
      <c r="F34" s="313"/>
      <c r="G34" s="313">
        <f t="shared" si="0"/>
        <v>5881968.9526119316</v>
      </c>
      <c r="H34" s="257"/>
    </row>
    <row r="35" spans="1:8" ht="16.5">
      <c r="B35" s="311" t="str">
        <f>CONCATENATE(LEFT(INPUTS!J3,3),"-",RIGHT(INPUTS!J4,2))</f>
        <v>Feb-17</v>
      </c>
      <c r="C35" s="312"/>
      <c r="D35" s="269">
        <v>3419297.0621560849</v>
      </c>
      <c r="E35" s="269">
        <v>1562817.8244325705</v>
      </c>
      <c r="F35" s="313"/>
      <c r="G35" s="313">
        <f t="shared" si="0"/>
        <v>4982114.8865886554</v>
      </c>
      <c r="H35" s="257"/>
    </row>
    <row r="36" spans="1:8" ht="16.5">
      <c r="B36" s="311" t="str">
        <f>CONCATENATE(LEFT(INPUTS!K3,3),"-",RIGHT(INPUTS!K4,2))</f>
        <v>Mar-17</v>
      </c>
      <c r="C36" s="312"/>
      <c r="D36" s="269">
        <v>4235289</v>
      </c>
      <c r="E36" s="269">
        <v>1703121.8147194274</v>
      </c>
      <c r="F36" s="313"/>
      <c r="G36" s="313">
        <f t="shared" si="0"/>
        <v>5938410.8147194274</v>
      </c>
      <c r="H36" s="257"/>
    </row>
    <row r="37" spans="1:8" ht="16.5">
      <c r="B37" s="311" t="str">
        <f>CONCATENATE(LEFT(INPUTS!L3,3),"-",RIGHT(INPUTS!L4,2))</f>
        <v>Apr-17</v>
      </c>
      <c r="C37" s="312"/>
      <c r="D37" s="269">
        <v>1582049.5854758015</v>
      </c>
      <c r="E37" s="269">
        <v>1465071.0487167821</v>
      </c>
      <c r="F37" s="313"/>
      <c r="G37" s="314">
        <f t="shared" si="0"/>
        <v>3047120.6341925836</v>
      </c>
      <c r="H37" s="257"/>
    </row>
    <row r="38" spans="1:8" ht="16.5">
      <c r="B38" s="311" t="str">
        <f>CONCATENATE(LEFT(INPUTS!M3,3),"-",RIGHT(INPUTS!M4,2))</f>
        <v>May-17</v>
      </c>
      <c r="C38" s="312"/>
      <c r="D38" s="269">
        <v>1407439.133643989</v>
      </c>
      <c r="E38" s="269">
        <v>1544860.6396150349</v>
      </c>
      <c r="F38" s="313"/>
      <c r="G38" s="314">
        <f t="shared" si="0"/>
        <v>2952299.7732590241</v>
      </c>
      <c r="H38" s="257"/>
    </row>
    <row r="39" spans="1:8" ht="16.5">
      <c r="B39" s="311" t="str">
        <f>CONCATENATE(LEFT(INPUTS!N3,3),"-",RIGHT(INPUTS!N4,2))</f>
        <v>Jun-17</v>
      </c>
      <c r="C39" s="312"/>
      <c r="D39" s="269">
        <v>965412.94452557852</v>
      </c>
      <c r="E39" s="269">
        <v>1841342.9003388747</v>
      </c>
      <c r="F39" s="313"/>
      <c r="G39" s="314">
        <f t="shared" si="0"/>
        <v>2806755.8448644532</v>
      </c>
      <c r="H39" s="257"/>
    </row>
    <row r="40" spans="1:8" ht="16.5">
      <c r="B40" s="311" t="str">
        <f>CONCATENATE(LEFT(INPUTS!O3,3),"-",RIGHT(INPUTS!O4,2))</f>
        <v>Jul-17</v>
      </c>
      <c r="C40" s="312"/>
      <c r="D40" s="269">
        <v>993429.9676393253</v>
      </c>
      <c r="E40" s="269">
        <v>2145809.6883780258</v>
      </c>
      <c r="F40" s="315"/>
      <c r="G40" s="314">
        <f t="shared" si="0"/>
        <v>3139239.656017351</v>
      </c>
      <c r="H40" s="257"/>
    </row>
    <row r="41" spans="1:8" ht="16.5">
      <c r="B41" s="311" t="str">
        <f>CONCATENATE(LEFT(INPUTS!P3,3),"-",RIGHT(INPUTS!O4,2))</f>
        <v>Aug-17</v>
      </c>
      <c r="C41" s="312"/>
      <c r="D41" s="269">
        <v>746936.51612149575</v>
      </c>
      <c r="E41" s="269">
        <v>1975008.426248044</v>
      </c>
      <c r="F41" s="314"/>
      <c r="G41" s="314">
        <f t="shared" si="0"/>
        <v>2721944.9423695398</v>
      </c>
      <c r="H41" s="257"/>
    </row>
    <row r="42" spans="1:8" ht="16.5">
      <c r="B42" s="311" t="str">
        <f>CONCATENATE(LEFT(INPUTS!Q3,3),"-",RIGHT(INPUTS!O4,2))</f>
        <v>Sep-17</v>
      </c>
      <c r="C42" s="312"/>
      <c r="D42" s="361">
        <v>658356.40990692959</v>
      </c>
      <c r="E42" s="361">
        <v>1711459.7754837975</v>
      </c>
      <c r="F42" s="315"/>
      <c r="G42" s="316">
        <f t="shared" si="0"/>
        <v>2369816.1853907271</v>
      </c>
      <c r="H42" s="257"/>
    </row>
    <row r="43" spans="1:8" ht="16.5">
      <c r="B43" s="304"/>
      <c r="C43" s="292"/>
      <c r="D43" s="317"/>
      <c r="E43" s="318"/>
      <c r="F43" s="307"/>
      <c r="G43" s="318"/>
      <c r="H43" s="257"/>
    </row>
    <row r="44" spans="1:8" ht="19.5" thickBot="1">
      <c r="A44" s="69"/>
      <c r="B44" s="319" t="s">
        <v>5</v>
      </c>
      <c r="C44" s="307"/>
      <c r="D44" s="320">
        <f>SUM(D31:D42)</f>
        <v>25943083.147297867</v>
      </c>
      <c r="E44" s="320">
        <f>SUM(E31:E42)</f>
        <v>20446895.868034575</v>
      </c>
      <c r="F44" s="321"/>
      <c r="G44" s="320">
        <f>(D44+E44)</f>
        <v>46389979.015332446</v>
      </c>
      <c r="H44" s="257"/>
    </row>
    <row r="45" spans="1:8" ht="17.25" thickTop="1">
      <c r="B45" s="319"/>
      <c r="C45" s="307"/>
      <c r="D45" s="308"/>
      <c r="E45" s="308"/>
      <c r="F45" s="308"/>
      <c r="G45" s="308"/>
      <c r="H45" s="257"/>
    </row>
    <row r="46" spans="1:8">
      <c r="B46" s="257"/>
      <c r="C46" s="257"/>
      <c r="D46" s="257"/>
      <c r="E46" s="257"/>
      <c r="F46" s="257"/>
      <c r="G46" s="257"/>
      <c r="H46" s="257"/>
    </row>
  </sheetData>
  <protectedRanges>
    <protectedRange sqref="E31:E42" name="Range1_2" securityDescriptor="O:WDG:WDD:(A;;CC;;;S-1-5-21-1876172974-742851678-1849977318-126664)(A;;CC;;;S-1-5-21-1876172974-742851678-1849977318-17411)(A;;CC;;;S-1-5-21-1876172974-742851678-1849977318-130404)(A;;CC;;;S-1-5-21-1876172974-742851678-1849977318-137880)(A;;CC;;;S-1-5-21-1876172974-742851678-1849977318-60683)(A;;CC;;;S-1-5-21-1876172974-742851678-1849977318-33978)(A;;CC;;;S-1-5-21-1876172974-742851678-1849977318-8288)"/>
  </protectedRanges>
  <mergeCells count="7">
    <mergeCell ref="B27:G27"/>
    <mergeCell ref="A3:H3"/>
    <mergeCell ref="A4:H4"/>
    <mergeCell ref="D12:E12"/>
    <mergeCell ref="D15:E15"/>
    <mergeCell ref="D18:E18"/>
    <mergeCell ref="G22:H22"/>
  </mergeCells>
  <phoneticPr fontId="3" type="noConversion"/>
  <printOptions horizontalCentered="1"/>
  <pageMargins left="0.38" right="0.51" top="1.19" bottom="1" header="0.35" footer="0.5"/>
  <pageSetup scale="64" orientation="landscape" r:id="rId1"/>
  <headerFooter alignWithMargins="0">
    <oddHeader xml:space="preserve">&amp;C&amp;"Arial,Bold"&amp;16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92D050"/>
  </sheetPr>
  <dimension ref="A1:T38"/>
  <sheetViews>
    <sheetView zoomScaleNormal="100" workbookViewId="0">
      <selection activeCell="G38" sqref="G38"/>
    </sheetView>
  </sheetViews>
  <sheetFormatPr defaultRowHeight="12.75"/>
  <cols>
    <col min="1" max="1" width="31.7109375" style="14" bestFit="1" customWidth="1"/>
    <col min="2" max="2" width="15.5703125" style="14" bestFit="1" customWidth="1"/>
    <col min="3" max="3" width="13.5703125" style="14" customWidth="1"/>
    <col min="4" max="4" width="13.7109375" style="14" customWidth="1"/>
    <col min="5" max="5" width="13.42578125" style="14" customWidth="1"/>
    <col min="6" max="6" width="13.28515625" style="14" customWidth="1"/>
    <col min="7" max="7" width="14.140625" style="14" customWidth="1"/>
    <col min="8" max="8" width="13.85546875" style="14" customWidth="1"/>
    <col min="9" max="9" width="14.85546875" style="14" customWidth="1"/>
    <col min="10" max="10" width="15.140625" style="14" customWidth="1"/>
    <col min="11" max="11" width="13.5703125" style="14" customWidth="1"/>
    <col min="12" max="12" width="14.42578125" style="14" customWidth="1"/>
    <col min="13" max="13" width="15.42578125" style="14" customWidth="1"/>
    <col min="14" max="14" width="12.85546875" style="66" customWidth="1"/>
    <col min="15" max="16" width="15" style="67" bestFit="1" customWidth="1"/>
    <col min="17" max="18" width="11.28515625" style="23" bestFit="1" customWidth="1"/>
    <col min="19" max="20" width="9.7109375" style="23" bestFit="1" customWidth="1"/>
    <col min="21" max="16384" width="9.140625" style="23"/>
  </cols>
  <sheetData>
    <row r="1" spans="1:20" ht="16.5">
      <c r="B1" s="63"/>
      <c r="M1" s="73" t="s">
        <v>40</v>
      </c>
    </row>
    <row r="2" spans="1:20" ht="16.5">
      <c r="M2" s="199" t="s">
        <v>55</v>
      </c>
    </row>
    <row r="3" spans="1:20" ht="22.5">
      <c r="A3" s="375" t="str">
        <f>INPUTS!C29</f>
        <v>MANUFACTURED GAS PLANT REMEDIATION (RAC 25)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</row>
    <row r="4" spans="1:20" ht="15.75" customHeigh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7" spans="1:20">
      <c r="A7" s="20" t="s">
        <v>17</v>
      </c>
      <c r="B7" s="10" t="str">
        <f>CONCATENATE(LEFT(INPUTS!D3,3),"-",RIGHT(INPUTS!D4,2))</f>
        <v>Aug-16</v>
      </c>
      <c r="C7" s="10" t="str">
        <f>CONCATENATE(LEFT(INPUTS!E3,3),"-",RIGHT(INPUTS!E4,2))</f>
        <v>Sep-16</v>
      </c>
      <c r="D7" s="10" t="str">
        <f>CONCATENATE(LEFT(INPUTS!F3,3),"-",RIGHT(INPUTS!F4,2))</f>
        <v>Oct-16</v>
      </c>
      <c r="E7" s="10" t="str">
        <f>CONCATENATE(LEFT(INPUTS!G3,3),"-",RIGHT(INPUTS!G4,2))</f>
        <v>Nov-16</v>
      </c>
      <c r="F7" s="10" t="str">
        <f>CONCATENATE(LEFT(INPUTS!H3,3),"-",RIGHT(INPUTS!H4,2))</f>
        <v>Dec-16</v>
      </c>
      <c r="G7" s="10" t="str">
        <f>CONCATENATE(LEFT(INPUTS!I3,3),"-",RIGHT(INPUTS!I4,2))</f>
        <v>Jan-17</v>
      </c>
      <c r="H7" s="10" t="str">
        <f>CONCATENATE(LEFT(INPUTS!J3,3),"-",RIGHT(INPUTS!J4,2))</f>
        <v>Feb-17</v>
      </c>
      <c r="I7" s="10" t="str">
        <f>CONCATENATE(LEFT(INPUTS!K3,3),"-",RIGHT(INPUTS!K4,2))</f>
        <v>Mar-17</v>
      </c>
      <c r="J7" s="10" t="str">
        <f>CONCATENATE(LEFT(INPUTS!L3,3),"-",RIGHT(INPUTS!L4,2))</f>
        <v>Apr-17</v>
      </c>
      <c r="K7" s="10" t="str">
        <f>CONCATENATE(LEFT(INPUTS!M3,3),"-",RIGHT(INPUTS!M4,2))</f>
        <v>May-17</v>
      </c>
      <c r="L7" s="10" t="str">
        <f>CONCATENATE(LEFT(INPUTS!N3,3),"-",RIGHT(INPUTS!N4,2))</f>
        <v>Jun-17</v>
      </c>
      <c r="M7" s="10" t="str">
        <f>CONCATENATE(LEFT(INPUTS!O3,3),"-",RIGHT(INPUTS!O4,2))</f>
        <v>Jul-17</v>
      </c>
      <c r="N7" s="10" t="s">
        <v>5</v>
      </c>
      <c r="O7" s="17"/>
      <c r="P7" s="17"/>
    </row>
    <row r="9" spans="1:20">
      <c r="A9" s="11" t="s">
        <v>0</v>
      </c>
      <c r="B9" s="203">
        <f>INPUTS!D25</f>
        <v>-107503581.80703203</v>
      </c>
      <c r="C9" s="58">
        <f>B19</f>
        <v>-109602569.64020456</v>
      </c>
      <c r="D9" s="58">
        <f>C19</f>
        <v>-113108954.76057649</v>
      </c>
      <c r="E9" s="58">
        <f>D19</f>
        <v>-115056069.0876168</v>
      </c>
      <c r="F9" s="58">
        <f t="shared" ref="F9:L9" si="0">E19</f>
        <v>-117339945.79152453</v>
      </c>
      <c r="G9" s="58">
        <f t="shared" si="0"/>
        <v>-117371532.24781461</v>
      </c>
      <c r="H9" s="58">
        <f t="shared" si="0"/>
        <v>-114201218.47274782</v>
      </c>
      <c r="I9" s="58">
        <f t="shared" si="0"/>
        <v>-113190948.03059173</v>
      </c>
      <c r="J9" s="58">
        <f t="shared" si="0"/>
        <v>-112373470.03059173</v>
      </c>
      <c r="K9" s="58">
        <f t="shared" si="0"/>
        <v>-113180894.21511592</v>
      </c>
      <c r="L9" s="58">
        <f t="shared" si="0"/>
        <v>-113598109.68147193</v>
      </c>
      <c r="M9" s="58">
        <f>L19</f>
        <v>-115571646.73694634</v>
      </c>
      <c r="N9" s="58"/>
      <c r="O9" s="57"/>
      <c r="P9" s="57"/>
    </row>
    <row r="10" spans="1:20">
      <c r="A10" s="11"/>
      <c r="B10" s="63"/>
      <c r="C10" s="58"/>
      <c r="D10" s="58"/>
      <c r="E10" s="58"/>
      <c r="F10" s="63"/>
      <c r="G10" s="63"/>
      <c r="H10" s="63"/>
      <c r="I10" s="63"/>
      <c r="J10" s="63"/>
      <c r="K10" s="63"/>
      <c r="L10" s="63"/>
      <c r="M10" s="63"/>
      <c r="N10" s="76"/>
      <c r="O10" s="60"/>
      <c r="P10" s="60"/>
    </row>
    <row r="11" spans="1:20">
      <c r="A11" s="11"/>
      <c r="B11" s="63"/>
      <c r="C11" s="5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76"/>
      <c r="O11" s="60"/>
      <c r="P11" s="60"/>
    </row>
    <row r="12" spans="1:20">
      <c r="A12" s="11" t="s">
        <v>20</v>
      </c>
      <c r="B12" s="203">
        <f>INPUTS!D26</f>
        <v>766371.11082747439</v>
      </c>
      <c r="C12" s="203">
        <f>INPUTS!E26</f>
        <v>710884.04699004907</v>
      </c>
      <c r="D12" s="203">
        <f>INPUTS!F26</f>
        <v>1319431.5389596843</v>
      </c>
      <c r="E12" s="203">
        <f>INPUTS!G26</f>
        <v>2412890.1700922772</v>
      </c>
      <c r="F12" s="203">
        <f>INPUTS!H26</f>
        <v>4058278.5437099119</v>
      </c>
      <c r="G12" s="203">
        <f>INPUTS!I26</f>
        <v>4144272.2750667864</v>
      </c>
      <c r="H12" s="203">
        <f>INPUTS!J26</f>
        <v>3419297.0621560849</v>
      </c>
      <c r="I12" s="203">
        <f>INPUTS!K26</f>
        <v>4235289</v>
      </c>
      <c r="J12" s="203">
        <f>INPUTS!L26</f>
        <v>1582049.5854758015</v>
      </c>
      <c r="K12" s="203">
        <f>INPUTS!M26</f>
        <v>1407439.133643989</v>
      </c>
      <c r="L12" s="203">
        <f>INPUTS!N26</f>
        <v>965412.94452557852</v>
      </c>
      <c r="M12" s="203">
        <f>INPUTS!O26</f>
        <v>993429.9676393253</v>
      </c>
      <c r="N12" s="76"/>
      <c r="O12" s="61"/>
      <c r="P12" s="61"/>
      <c r="Q12" s="62"/>
      <c r="R12" s="62"/>
      <c r="S12" s="62"/>
      <c r="T12" s="62"/>
    </row>
    <row r="13" spans="1:20">
      <c r="A13" s="11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76"/>
      <c r="O13" s="60"/>
      <c r="P13" s="60"/>
    </row>
    <row r="14" spans="1:20">
      <c r="A14" s="120" t="s">
        <v>112</v>
      </c>
      <c r="B14" s="204">
        <f>INPUTS!D27</f>
        <v>-2865358.9439999992</v>
      </c>
      <c r="C14" s="204">
        <f>INPUTS!E27</f>
        <v>-4217269.1673619673</v>
      </c>
      <c r="D14" s="204">
        <f>INPUTS!F27</f>
        <v>-3266545.8659999995</v>
      </c>
      <c r="E14" s="204">
        <f>INPUTS!G27</f>
        <v>-4696766.8739999998</v>
      </c>
      <c r="F14" s="204">
        <f>INPUTS!H27</f>
        <v>-4089865</v>
      </c>
      <c r="G14" s="204">
        <f>INPUTS!I27</f>
        <v>-973958.5</v>
      </c>
      <c r="H14" s="204">
        <f>INPUTS!J27</f>
        <v>-2409026.62</v>
      </c>
      <c r="I14" s="204">
        <f>INPUTS!K27</f>
        <v>-3417811</v>
      </c>
      <c r="J14" s="204">
        <f>INPUTS!L27</f>
        <v>-2389473.77</v>
      </c>
      <c r="K14" s="204">
        <f>INPUTS!M27</f>
        <v>-1824654.6</v>
      </c>
      <c r="L14" s="204">
        <f>INPUTS!N27</f>
        <v>-2938950</v>
      </c>
      <c r="M14" s="204">
        <f>INPUTS!O27</f>
        <v>-1531507.12</v>
      </c>
      <c r="N14" s="63">
        <f>SUM(B14:M14)</f>
        <v>-34621187.461361967</v>
      </c>
      <c r="O14" s="148"/>
      <c r="P14" s="61"/>
    </row>
    <row r="15" spans="1:20" ht="38.25">
      <c r="A15" s="11" t="s">
        <v>1</v>
      </c>
      <c r="B15" s="11" t="s">
        <v>1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36" t="s">
        <v>100</v>
      </c>
      <c r="O15" s="60"/>
      <c r="P15" s="60"/>
    </row>
    <row r="16" spans="1:20">
      <c r="A16" s="11" t="s">
        <v>2</v>
      </c>
      <c r="B16" s="137">
        <f>+B12+B14</f>
        <v>-2098987.8331725248</v>
      </c>
      <c r="C16" s="137">
        <f>+C12+C14</f>
        <v>-3506385.1203719182</v>
      </c>
      <c r="D16" s="137">
        <f>+D12+D14</f>
        <v>-1947114.3270403151</v>
      </c>
      <c r="E16" s="137">
        <f>+E12+E14</f>
        <v>-2283876.7039077226</v>
      </c>
      <c r="F16" s="137">
        <f t="shared" ref="F16:M16" si="1">+F12+F14</f>
        <v>-31586.456290088128</v>
      </c>
      <c r="G16" s="137">
        <f t="shared" si="1"/>
        <v>3170313.7750667864</v>
      </c>
      <c r="H16" s="137">
        <f t="shared" si="1"/>
        <v>1010270.4421560848</v>
      </c>
      <c r="I16" s="137">
        <f t="shared" si="1"/>
        <v>817478</v>
      </c>
      <c r="J16" s="137">
        <f t="shared" si="1"/>
        <v>-807424.18452419853</v>
      </c>
      <c r="K16" s="137">
        <f t="shared" si="1"/>
        <v>-417215.46635601111</v>
      </c>
      <c r="L16" s="137">
        <f t="shared" si="1"/>
        <v>-1973537.0554744215</v>
      </c>
      <c r="M16" s="137">
        <f t="shared" si="1"/>
        <v>-538077.15236067481</v>
      </c>
      <c r="N16" s="137"/>
      <c r="O16" s="18"/>
      <c r="P16" s="18"/>
    </row>
    <row r="17" spans="1:16">
      <c r="A17" s="1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76"/>
      <c r="O17" s="60"/>
      <c r="P17" s="60"/>
    </row>
    <row r="18" spans="1:16">
      <c r="B18" s="137"/>
      <c r="C18" s="137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76"/>
      <c r="O18" s="60"/>
      <c r="P18" s="60"/>
    </row>
    <row r="19" spans="1:16">
      <c r="A19" s="11" t="s">
        <v>21</v>
      </c>
      <c r="B19" s="137">
        <f>+B9+B16+B10</f>
        <v>-109602569.64020456</v>
      </c>
      <c r="C19" s="137">
        <f>+C9+C16+C10</f>
        <v>-113108954.76057649</v>
      </c>
      <c r="D19" s="137">
        <f>+D9+D16+D10</f>
        <v>-115056069.0876168</v>
      </c>
      <c r="E19" s="137">
        <f t="shared" ref="E19:M19" si="2">+E9+E16+E10</f>
        <v>-117339945.79152453</v>
      </c>
      <c r="F19" s="137">
        <f t="shared" si="2"/>
        <v>-117371532.24781461</v>
      </c>
      <c r="G19" s="137">
        <f t="shared" si="2"/>
        <v>-114201218.47274782</v>
      </c>
      <c r="H19" s="137">
        <f t="shared" si="2"/>
        <v>-113190948.03059173</v>
      </c>
      <c r="I19" s="137">
        <f t="shared" si="2"/>
        <v>-112373470.03059173</v>
      </c>
      <c r="J19" s="137">
        <f t="shared" si="2"/>
        <v>-113180894.21511592</v>
      </c>
      <c r="K19" s="137">
        <f t="shared" si="2"/>
        <v>-113598109.68147193</v>
      </c>
      <c r="L19" s="137">
        <f t="shared" si="2"/>
        <v>-115571646.73694634</v>
      </c>
      <c r="M19" s="137">
        <f t="shared" si="2"/>
        <v>-116109723.88930702</v>
      </c>
      <c r="N19" s="137"/>
      <c r="O19" s="18"/>
      <c r="P19" s="18"/>
    </row>
    <row r="20" spans="1:16">
      <c r="A20" s="11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76"/>
      <c r="O20" s="60"/>
      <c r="P20" s="60"/>
    </row>
    <row r="21" spans="1:16">
      <c r="B21" s="64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76"/>
      <c r="O21" s="60"/>
      <c r="P21" s="60"/>
    </row>
    <row r="22" spans="1:16">
      <c r="A22" s="11" t="s">
        <v>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76"/>
      <c r="O22" s="60"/>
      <c r="P22" s="60"/>
    </row>
    <row r="23" spans="1:16">
      <c r="A23" s="40" t="s">
        <v>22</v>
      </c>
      <c r="B23" s="144">
        <f>+B9</f>
        <v>-107503581.80703203</v>
      </c>
      <c r="C23" s="63">
        <f>B19</f>
        <v>-109602569.64020456</v>
      </c>
      <c r="D23" s="63">
        <f>C19</f>
        <v>-113108954.76057649</v>
      </c>
      <c r="E23" s="63">
        <f t="shared" ref="E23:M23" si="3">D19</f>
        <v>-115056069.0876168</v>
      </c>
      <c r="F23" s="63">
        <f t="shared" si="3"/>
        <v>-117339945.79152453</v>
      </c>
      <c r="G23" s="63">
        <f t="shared" si="3"/>
        <v>-117371532.24781461</v>
      </c>
      <c r="H23" s="63">
        <f t="shared" si="3"/>
        <v>-114201218.47274782</v>
      </c>
      <c r="I23" s="63">
        <f t="shared" si="3"/>
        <v>-113190948.03059173</v>
      </c>
      <c r="J23" s="63">
        <f t="shared" si="3"/>
        <v>-112373470.03059173</v>
      </c>
      <c r="K23" s="63">
        <f t="shared" si="3"/>
        <v>-113180894.21511592</v>
      </c>
      <c r="L23" s="63">
        <f t="shared" si="3"/>
        <v>-113598109.68147193</v>
      </c>
      <c r="M23" s="63">
        <f t="shared" si="3"/>
        <v>-115571646.73694634</v>
      </c>
      <c r="N23" s="76"/>
      <c r="O23" s="77"/>
      <c r="P23" s="60"/>
    </row>
    <row r="24" spans="1:16">
      <c r="A24" s="40"/>
      <c r="B24" s="145"/>
      <c r="C24" s="138"/>
      <c r="D24" s="138"/>
      <c r="E24" s="138"/>
      <c r="F24" s="63"/>
      <c r="G24" s="63"/>
      <c r="H24" s="63"/>
      <c r="I24" s="63"/>
      <c r="J24" s="63"/>
      <c r="K24" s="63"/>
      <c r="L24" s="63"/>
      <c r="M24" s="63"/>
      <c r="N24" s="76"/>
      <c r="O24" s="60"/>
      <c r="P24" s="60"/>
    </row>
    <row r="25" spans="1:16">
      <c r="A25" s="40" t="s">
        <v>23</v>
      </c>
      <c r="B25" s="145">
        <f>+B19</f>
        <v>-109602569.64020456</v>
      </c>
      <c r="C25" s="138">
        <f>+C19</f>
        <v>-113108954.76057649</v>
      </c>
      <c r="D25" s="138">
        <f>+D19</f>
        <v>-115056069.0876168</v>
      </c>
      <c r="E25" s="138">
        <f t="shared" ref="E25:M25" si="4">+E19</f>
        <v>-117339945.79152453</v>
      </c>
      <c r="F25" s="138">
        <f t="shared" si="4"/>
        <v>-117371532.24781461</v>
      </c>
      <c r="G25" s="138">
        <f t="shared" si="4"/>
        <v>-114201218.47274782</v>
      </c>
      <c r="H25" s="138">
        <f t="shared" si="4"/>
        <v>-113190948.03059173</v>
      </c>
      <c r="I25" s="138">
        <f t="shared" si="4"/>
        <v>-112373470.03059173</v>
      </c>
      <c r="J25" s="138">
        <f t="shared" si="4"/>
        <v>-113180894.21511592</v>
      </c>
      <c r="K25" s="138">
        <f t="shared" si="4"/>
        <v>-113598109.68147193</v>
      </c>
      <c r="L25" s="138">
        <f t="shared" si="4"/>
        <v>-115571646.73694634</v>
      </c>
      <c r="M25" s="138">
        <f t="shared" si="4"/>
        <v>-116109723.88930702</v>
      </c>
      <c r="N25" s="79"/>
      <c r="O25" s="61"/>
      <c r="P25" s="61"/>
    </row>
    <row r="26" spans="1:16">
      <c r="A26" s="40"/>
      <c r="B26" s="145"/>
      <c r="C26" s="138"/>
      <c r="D26" s="138"/>
      <c r="E26" s="138"/>
      <c r="F26" s="63"/>
      <c r="G26" s="63"/>
      <c r="H26" s="63"/>
      <c r="I26" s="63"/>
      <c r="J26" s="63"/>
      <c r="K26" s="63"/>
      <c r="L26" s="63"/>
      <c r="M26" s="63"/>
      <c r="N26" s="76"/>
      <c r="O26" s="60"/>
      <c r="P26" s="60"/>
    </row>
    <row r="27" spans="1:16">
      <c r="A27" s="40" t="s">
        <v>24</v>
      </c>
      <c r="B27" s="145">
        <f>(+B23+B25)/2</f>
        <v>-108553075.7236183</v>
      </c>
      <c r="C27" s="138">
        <f>(+C23+C25)/2</f>
        <v>-111355762.20039052</v>
      </c>
      <c r="D27" s="138">
        <f>(+D23+D25)/2</f>
        <v>-114082511.92409664</v>
      </c>
      <c r="E27" s="138">
        <f t="shared" ref="E27:M27" si="5">(+E23+E25)/2</f>
        <v>-116198007.43957067</v>
      </c>
      <c r="F27" s="138">
        <f t="shared" si="5"/>
        <v>-117355739.01966956</v>
      </c>
      <c r="G27" s="138">
        <f t="shared" si="5"/>
        <v>-115786375.36028121</v>
      </c>
      <c r="H27" s="138">
        <f t="shared" si="5"/>
        <v>-113696083.25166976</v>
      </c>
      <c r="I27" s="138">
        <f t="shared" si="5"/>
        <v>-112782209.03059173</v>
      </c>
      <c r="J27" s="138">
        <f t="shared" si="5"/>
        <v>-112777182.12285382</v>
      </c>
      <c r="K27" s="138">
        <f t="shared" si="5"/>
        <v>-113389501.94829392</v>
      </c>
      <c r="L27" s="138">
        <f t="shared" si="5"/>
        <v>-114584878.20920914</v>
      </c>
      <c r="M27" s="138">
        <f t="shared" si="5"/>
        <v>-115840685.31312668</v>
      </c>
      <c r="N27" s="79"/>
      <c r="O27" s="61"/>
      <c r="P27" s="61"/>
    </row>
    <row r="28" spans="1:16">
      <c r="A28" s="40"/>
      <c r="B28" s="145"/>
      <c r="C28" s="63"/>
      <c r="D28" s="138"/>
      <c r="E28" s="138"/>
      <c r="F28" s="63"/>
      <c r="G28" s="63"/>
      <c r="H28" s="63"/>
      <c r="I28" s="63"/>
      <c r="J28" s="63"/>
      <c r="K28" s="63"/>
      <c r="L28" s="63"/>
      <c r="M28" s="63"/>
      <c r="N28" s="76"/>
      <c r="O28" s="60"/>
      <c r="P28" s="60"/>
    </row>
    <row r="29" spans="1:16">
      <c r="A29" s="40" t="s">
        <v>28</v>
      </c>
      <c r="N29" s="76"/>
      <c r="O29" s="60"/>
      <c r="P29" s="60"/>
    </row>
    <row r="30" spans="1:16">
      <c r="A30" s="15" t="s">
        <v>27</v>
      </c>
      <c r="B30" s="253">
        <f>(B27*(1-INPUTS!D9))*(B31/12)</f>
        <v>-103269.70706725337</v>
      </c>
      <c r="C30" s="253">
        <f>(C27*(1-INPUTS!E9))*(C31/12)</f>
        <v>-105935.98445762902</v>
      </c>
      <c r="D30" s="253">
        <f>(D27*(1-INPUTS!F9))*(D31/12)</f>
        <v>-108530.02099999093</v>
      </c>
      <c r="E30" s="253">
        <f>(E27*(1-INPUTS!G9))*(E31/12)</f>
        <v>-110542.5535858139</v>
      </c>
      <c r="F30" s="253">
        <f>(F27*(1-INPUTS!H9))*(F31/12)</f>
        <v>-111643.93740513307</v>
      </c>
      <c r="G30" s="253">
        <f>(G27*(1-INPUTS!I9))*(G31/12)</f>
        <v>-110150.9559828502</v>
      </c>
      <c r="H30" s="253">
        <f>(H27*(1-INPUTS!J9))*(H31/12)</f>
        <v>-108162.40013307496</v>
      </c>
      <c r="I30" s="253">
        <f>(I27*(1-INPUTS!K9))*(I31/12)</f>
        <v>-107293.00493189864</v>
      </c>
      <c r="J30" s="253">
        <f>(J27*(1-INPUTS!L9))*(J31/12)</f>
        <v>-107288.22268794943</v>
      </c>
      <c r="K30" s="253">
        <f>(K27*(1-INPUTS!M9))*(K31/12)</f>
        <v>-107870.74039721883</v>
      </c>
      <c r="L30" s="253">
        <f>(L27*(1-INPUTS!N9))*(L31/12)</f>
        <v>-109007.93669936844</v>
      </c>
      <c r="M30" s="253">
        <f>(M27*(1-INPUTS!O9))*(M31/12)</f>
        <v>-110202.6226250324</v>
      </c>
      <c r="N30" s="137"/>
      <c r="O30" s="18"/>
      <c r="P30" s="18"/>
    </row>
    <row r="31" spans="1:16">
      <c r="A31" s="15" t="s">
        <v>25</v>
      </c>
      <c r="B31" s="202">
        <f>INPUTS!D8</f>
        <v>1.9300000000000001E-2</v>
      </c>
      <c r="C31" s="202">
        <f>INPUTS!E8</f>
        <v>1.9300000000000001E-2</v>
      </c>
      <c r="D31" s="202">
        <f>INPUTS!F8</f>
        <v>1.9300000000000001E-2</v>
      </c>
      <c r="E31" s="202">
        <f>INPUTS!G8</f>
        <v>1.9300000000000001E-2</v>
      </c>
      <c r="F31" s="202">
        <f>INPUTS!H8</f>
        <v>1.9300000000000001E-2</v>
      </c>
      <c r="G31" s="202">
        <f>INPUTS!I8</f>
        <v>1.9300000000000001E-2</v>
      </c>
      <c r="H31" s="202">
        <f>INPUTS!J8</f>
        <v>1.9300000000000001E-2</v>
      </c>
      <c r="I31" s="202">
        <f>INPUTS!K8</f>
        <v>1.9300000000000001E-2</v>
      </c>
      <c r="J31" s="202">
        <f>INPUTS!L8</f>
        <v>1.9300000000000001E-2</v>
      </c>
      <c r="K31" s="202">
        <f>INPUTS!M8</f>
        <v>1.9300000000000001E-2</v>
      </c>
      <c r="L31" s="202">
        <f>INPUTS!N8</f>
        <v>1.9300000000000001E-2</v>
      </c>
      <c r="M31" s="202">
        <f>INPUTS!O8</f>
        <v>1.9300000000000001E-2</v>
      </c>
      <c r="N31" s="16"/>
      <c r="O31" s="19"/>
      <c r="P31" s="19"/>
    </row>
    <row r="32" spans="1:16">
      <c r="A32" s="40"/>
      <c r="B32" s="12"/>
      <c r="C32" s="1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59"/>
      <c r="O32" s="60"/>
      <c r="P32" s="60"/>
    </row>
    <row r="33" spans="1:16">
      <c r="A33" s="15" t="s">
        <v>26</v>
      </c>
      <c r="B33" s="146">
        <f>B30</f>
        <v>-103269.70706725337</v>
      </c>
      <c r="C33" s="12">
        <f>B33+C30</f>
        <v>-209205.69152488239</v>
      </c>
      <c r="D33" s="12">
        <f t="shared" ref="D33:M33" si="6">C33+D30</f>
        <v>-317735.71252487332</v>
      </c>
      <c r="E33" s="12">
        <f t="shared" si="6"/>
        <v>-428278.26611068723</v>
      </c>
      <c r="F33" s="12">
        <f t="shared" si="6"/>
        <v>-539922.20351582032</v>
      </c>
      <c r="G33" s="12">
        <f t="shared" si="6"/>
        <v>-650073.15949867049</v>
      </c>
      <c r="H33" s="12">
        <f t="shared" si="6"/>
        <v>-758235.55963174545</v>
      </c>
      <c r="I33" s="12">
        <f t="shared" si="6"/>
        <v>-865528.56456364412</v>
      </c>
      <c r="J33" s="12">
        <f t="shared" si="6"/>
        <v>-972816.78725159355</v>
      </c>
      <c r="K33" s="12">
        <f t="shared" si="6"/>
        <v>-1080687.5276488124</v>
      </c>
      <c r="L33" s="12">
        <f t="shared" si="6"/>
        <v>-1189695.4643481809</v>
      </c>
      <c r="M33" s="12">
        <f t="shared" si="6"/>
        <v>-1299898.0869732134</v>
      </c>
      <c r="N33" s="12"/>
      <c r="O33" s="18"/>
      <c r="P33" s="18"/>
    </row>
    <row r="34" spans="1:16">
      <c r="B34" s="12"/>
      <c r="C34" s="1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59"/>
      <c r="O34" s="60"/>
      <c r="P34" s="60"/>
    </row>
    <row r="35" spans="1:16">
      <c r="B35" s="64"/>
      <c r="C35" s="64"/>
      <c r="D35" s="65"/>
    </row>
    <row r="36" spans="1:16">
      <c r="A36" s="141"/>
      <c r="B36" s="147"/>
      <c r="D36" s="41"/>
      <c r="L36" s="129"/>
      <c r="M36" s="130">
        <f>M19+M33</f>
        <v>-117409621.97628024</v>
      </c>
    </row>
    <row r="37" spans="1:16" ht="14.25" customHeight="1">
      <c r="B37" s="135"/>
      <c r="D37" s="68"/>
      <c r="L37" s="377" t="s">
        <v>99</v>
      </c>
      <c r="M37" s="378"/>
    </row>
    <row r="38" spans="1:16">
      <c r="L38" s="190" t="s">
        <v>127</v>
      </c>
      <c r="M38" s="189"/>
    </row>
  </sheetData>
  <mergeCells count="3">
    <mergeCell ref="A3:N3"/>
    <mergeCell ref="A4:N4"/>
    <mergeCell ref="L37:M37"/>
  </mergeCells>
  <phoneticPr fontId="3" type="noConversion"/>
  <printOptions horizontalCentered="1"/>
  <pageMargins left="0.25" right="0.25" top="1.25" bottom="1" header="0.33" footer="0.5"/>
  <pageSetup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92D050"/>
  </sheetPr>
  <dimension ref="A1:P39"/>
  <sheetViews>
    <sheetView zoomScale="85" zoomScaleNormal="85" workbookViewId="0">
      <selection activeCell="M35" sqref="M35"/>
    </sheetView>
  </sheetViews>
  <sheetFormatPr defaultRowHeight="12.75"/>
  <cols>
    <col min="1" max="1" width="31.7109375" style="14" bestFit="1" customWidth="1"/>
    <col min="2" max="2" width="14.140625" style="14" customWidth="1"/>
    <col min="3" max="6" width="12.85546875" style="14" customWidth="1"/>
    <col min="7" max="7" width="13.85546875" style="14" bestFit="1" customWidth="1"/>
    <col min="8" max="13" width="12.85546875" style="14" customWidth="1"/>
    <col min="14" max="14" width="14.85546875" style="23" customWidth="1"/>
    <col min="15" max="15" width="15.5703125" style="23" bestFit="1" customWidth="1"/>
    <col min="16" max="16384" width="9.140625" style="23"/>
  </cols>
  <sheetData>
    <row r="1" spans="1:16" ht="16.5">
      <c r="M1" s="73" t="s">
        <v>40</v>
      </c>
    </row>
    <row r="2" spans="1:16" ht="16.5">
      <c r="M2" s="73" t="s">
        <v>81</v>
      </c>
    </row>
    <row r="3" spans="1:16" ht="22.5">
      <c r="A3" s="375" t="str">
        <f>INPUTS!C22</f>
        <v xml:space="preserve">MANUFACTURED GAS PLANT REMEDIATION (RAC 25) 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</row>
    <row r="4" spans="1:16" ht="12" customHeigh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7" spans="1:16">
      <c r="A7" s="13" t="s">
        <v>18</v>
      </c>
      <c r="B7" s="245" t="str">
        <f>CONCATENATE(LEFT(INPUTS!D3,3),"-",RIGHT(INPUTS!D4,2))</f>
        <v>Aug-16</v>
      </c>
      <c r="C7" s="245" t="str">
        <f>CONCATENATE(LEFT(INPUTS!E3,3),"-",RIGHT(INPUTS!E4,2))</f>
        <v>Sep-16</v>
      </c>
      <c r="D7" s="245" t="str">
        <f>CONCATENATE(LEFT(INPUTS!F3,3),"-",RIGHT(INPUTS!F4,2))</f>
        <v>Oct-16</v>
      </c>
      <c r="E7" s="245" t="str">
        <f>CONCATENATE(LEFT(INPUTS!G3,3),"-",RIGHT(INPUTS!G4,2))</f>
        <v>Nov-16</v>
      </c>
      <c r="F7" s="245" t="str">
        <f>CONCATENATE(LEFT(INPUTS!H3,3),"-",RIGHT(INPUTS!H4,2))</f>
        <v>Dec-16</v>
      </c>
      <c r="G7" s="245" t="str">
        <f>CONCATENATE(LEFT(INPUTS!I3,3),"-",RIGHT(INPUTS!I4,2))</f>
        <v>Jan-17</v>
      </c>
      <c r="H7" s="245" t="str">
        <f>CONCATENATE(LEFT(INPUTS!J3,3),"-",RIGHT(INPUTS!J4,2))</f>
        <v>Feb-17</v>
      </c>
      <c r="I7" s="245" t="str">
        <f>CONCATENATE(LEFT(INPUTS!K3,3),"-",RIGHT(INPUTS!K4,2))</f>
        <v>Mar-17</v>
      </c>
      <c r="J7" s="245" t="str">
        <f>CONCATENATE(LEFT(INPUTS!L3,3),"-",RIGHT(INPUTS!L4,2))</f>
        <v>Apr-17</v>
      </c>
      <c r="K7" s="245" t="str">
        <f>CONCATENATE(LEFT(INPUTS!M3,3),"-",RIGHT(INPUTS!M4,2))</f>
        <v>May-17</v>
      </c>
      <c r="L7" s="245" t="str">
        <f>CONCATENATE(LEFT(INPUTS!N3,3),"-",RIGHT(INPUTS!N4,2))</f>
        <v>Jun-17</v>
      </c>
      <c r="M7" s="245" t="str">
        <f>CONCATENATE(LEFT(INPUTS!O3,3),"-",RIGHT(INPUTS!O4,2))</f>
        <v>Jul-17</v>
      </c>
      <c r="N7" s="10" t="s">
        <v>5</v>
      </c>
    </row>
    <row r="9" spans="1:16">
      <c r="A9" s="11" t="s">
        <v>0</v>
      </c>
      <c r="B9" s="250">
        <f>INPUTS!D18</f>
        <v>-69073651.178645372</v>
      </c>
      <c r="C9" s="251">
        <f>B19</f>
        <v>-68635832.095527008</v>
      </c>
      <c r="D9" s="251">
        <f t="shared" ref="D9:M9" si="0">C19</f>
        <v>-69610204.799063161</v>
      </c>
      <c r="E9" s="251">
        <f t="shared" si="0"/>
        <v>-70198545.075008541</v>
      </c>
      <c r="F9" s="251">
        <f t="shared" si="0"/>
        <v>-71849611.865769878</v>
      </c>
      <c r="G9" s="251">
        <f t="shared" si="0"/>
        <v>-72885948.886506289</v>
      </c>
      <c r="H9" s="251">
        <f t="shared" si="0"/>
        <v>-71797557.876961142</v>
      </c>
      <c r="I9" s="251">
        <f t="shared" si="0"/>
        <v>-71840757.796528578</v>
      </c>
      <c r="J9" s="251">
        <f t="shared" si="0"/>
        <v>-72416175.981809154</v>
      </c>
      <c r="K9" s="251">
        <f t="shared" si="0"/>
        <v>-72544087.445092365</v>
      </c>
      <c r="L9" s="251">
        <f t="shared" si="0"/>
        <v>-72215663.205477327</v>
      </c>
      <c r="M9" s="251">
        <f t="shared" si="0"/>
        <v>-72333620.305138454</v>
      </c>
    </row>
    <row r="10" spans="1:16">
      <c r="A10" s="11"/>
      <c r="B10" s="252"/>
      <c r="C10" s="252"/>
      <c r="D10" s="252"/>
      <c r="E10" s="63"/>
      <c r="F10" s="63"/>
      <c r="G10" s="63"/>
      <c r="H10" s="63"/>
      <c r="I10" s="63"/>
      <c r="J10" s="63"/>
      <c r="K10" s="63"/>
      <c r="L10" s="63"/>
      <c r="M10" s="63"/>
    </row>
    <row r="11" spans="1:16">
      <c r="A11" s="11"/>
      <c r="B11" s="252"/>
      <c r="C11" s="252"/>
      <c r="D11" s="138"/>
      <c r="E11" s="138"/>
      <c r="F11" s="138"/>
      <c r="G11" s="138"/>
      <c r="H11" s="138"/>
      <c r="I11" s="138"/>
      <c r="J11" s="138"/>
      <c r="K11" s="138"/>
      <c r="L11" s="138"/>
      <c r="M11" s="138"/>
    </row>
    <row r="12" spans="1:16">
      <c r="A12" s="11" t="s">
        <v>20</v>
      </c>
      <c r="B12" s="250">
        <f>INPUTS!D19</f>
        <v>2348058.3791183615</v>
      </c>
      <c r="C12" s="250">
        <f>INPUTS!E19</f>
        <v>1837140.0747051644</v>
      </c>
      <c r="D12" s="250">
        <f>INPUTS!F19</f>
        <v>1589356.9680546164</v>
      </c>
      <c r="E12" s="250">
        <f>INPUTS!G19</f>
        <v>1480111.1252386668</v>
      </c>
      <c r="F12" s="250">
        <f>INPUTS!H19</f>
        <v>1690238.9792635876</v>
      </c>
      <c r="G12" s="250">
        <f>INPUTS!I19</f>
        <v>1737696.6775451454</v>
      </c>
      <c r="H12" s="250">
        <f>INPUTS!J19</f>
        <v>1562817.8244325705</v>
      </c>
      <c r="I12" s="250">
        <f>INPUTS!K19</f>
        <v>1703121.8147194274</v>
      </c>
      <c r="J12" s="250">
        <f>INPUTS!L19</f>
        <v>1465071.0487167821</v>
      </c>
      <c r="K12" s="250">
        <f>INPUTS!M19</f>
        <v>1544860.6396150349</v>
      </c>
      <c r="L12" s="250">
        <f>INPUTS!N19</f>
        <v>1841342.9003388747</v>
      </c>
      <c r="M12" s="250">
        <f>INPUTS!O19</f>
        <v>2145809.6883780258</v>
      </c>
      <c r="N12" s="32"/>
    </row>
    <row r="13" spans="1:16">
      <c r="A13" s="11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</row>
    <row r="14" spans="1:16">
      <c r="A14" s="120" t="s">
        <v>112</v>
      </c>
      <c r="B14" s="250">
        <f>INPUTS!D20</f>
        <v>-1910239.2959999996</v>
      </c>
      <c r="C14" s="250">
        <f>INPUTS!E20</f>
        <v>-2811512.7782413117</v>
      </c>
      <c r="D14" s="250">
        <f>INPUTS!F20</f>
        <v>-2177697.2439999999</v>
      </c>
      <c r="E14" s="250">
        <f>INPUTS!G20</f>
        <v>-3131177.9160000002</v>
      </c>
      <c r="F14" s="250">
        <f>INPUTS!H20</f>
        <v>-2726576</v>
      </c>
      <c r="G14" s="250">
        <f>INPUTS!I20</f>
        <v>-649305.66800000006</v>
      </c>
      <c r="H14" s="250">
        <f>INPUTS!J20</f>
        <v>-1606017.7439999999</v>
      </c>
      <c r="I14" s="250">
        <f>INPUTS!K20</f>
        <v>-2278540</v>
      </c>
      <c r="J14" s="250">
        <f>INPUTS!L20</f>
        <v>-1592982.5120000001</v>
      </c>
      <c r="K14" s="250">
        <f>INPUTS!M20</f>
        <v>-1216436.4000000001</v>
      </c>
      <c r="L14" s="250">
        <f>INPUTS!N20</f>
        <v>-1959300</v>
      </c>
      <c r="M14" s="250">
        <f>INPUTS!O20</f>
        <v>-1021004.7440000001</v>
      </c>
      <c r="N14" s="32">
        <f>SUM(B14:M14)</f>
        <v>-23080790.302241307</v>
      </c>
    </row>
    <row r="15" spans="1:16" ht="38.25">
      <c r="A15" s="11" t="s">
        <v>1</v>
      </c>
      <c r="B15" s="58" t="s">
        <v>1</v>
      </c>
      <c r="C15" s="58" t="s">
        <v>1</v>
      </c>
      <c r="D15" s="58" t="s">
        <v>1</v>
      </c>
      <c r="E15" s="58" t="s">
        <v>1</v>
      </c>
      <c r="F15" s="58" t="s">
        <v>1</v>
      </c>
      <c r="G15" s="58" t="s">
        <v>1</v>
      </c>
      <c r="H15" s="58" t="s">
        <v>1</v>
      </c>
      <c r="I15" s="58" t="s">
        <v>1</v>
      </c>
      <c r="J15" s="58" t="s">
        <v>1</v>
      </c>
      <c r="K15" s="58" t="s">
        <v>1</v>
      </c>
      <c r="L15" s="58" t="s">
        <v>1</v>
      </c>
      <c r="M15" s="58" t="s">
        <v>1</v>
      </c>
      <c r="N15" s="136" t="s">
        <v>100</v>
      </c>
      <c r="O15" s="60"/>
      <c r="P15" s="60"/>
    </row>
    <row r="16" spans="1:16">
      <c r="A16" s="11" t="s">
        <v>2</v>
      </c>
      <c r="B16" s="251">
        <f>+B12+B14</f>
        <v>437819.08311836189</v>
      </c>
      <c r="C16" s="251">
        <f>+C12+C14</f>
        <v>-974372.70353614725</v>
      </c>
      <c r="D16" s="251">
        <f>+D12+D14</f>
        <v>-588340.27594538359</v>
      </c>
      <c r="E16" s="251">
        <f>+E12+E14</f>
        <v>-1651066.7907613334</v>
      </c>
      <c r="F16" s="251">
        <f t="shared" ref="F16:M16" si="1">+F12+F14</f>
        <v>-1036337.0207364124</v>
      </c>
      <c r="G16" s="251">
        <f t="shared" si="1"/>
        <v>1088391.0095451453</v>
      </c>
      <c r="H16" s="251">
        <f t="shared" si="1"/>
        <v>-43199.919567429461</v>
      </c>
      <c r="I16" s="251">
        <f t="shared" si="1"/>
        <v>-575418.18528057262</v>
      </c>
      <c r="J16" s="251">
        <f t="shared" si="1"/>
        <v>-127911.46328321798</v>
      </c>
      <c r="K16" s="251">
        <f t="shared" si="1"/>
        <v>328424.23961503478</v>
      </c>
      <c r="L16" s="251">
        <f t="shared" si="1"/>
        <v>-117957.09966112534</v>
      </c>
      <c r="M16" s="251">
        <f t="shared" si="1"/>
        <v>1124804.9443780258</v>
      </c>
      <c r="N16" s="32"/>
    </row>
    <row r="17" spans="1:16">
      <c r="A17" s="1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</row>
    <row r="18" spans="1:16"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O18" s="193"/>
    </row>
    <row r="19" spans="1:16">
      <c r="A19" s="11" t="s">
        <v>21</v>
      </c>
      <c r="B19" s="137">
        <f>+B9+B16</f>
        <v>-68635832.095527008</v>
      </c>
      <c r="C19" s="137">
        <f>+C9+C16</f>
        <v>-69610204.799063161</v>
      </c>
      <c r="D19" s="137">
        <f>+D9+D16</f>
        <v>-70198545.075008541</v>
      </c>
      <c r="E19" s="137">
        <f>+E9+E16</f>
        <v>-71849611.865769878</v>
      </c>
      <c r="F19" s="137">
        <f t="shared" ref="F19:M19" si="2">+F9+F16</f>
        <v>-72885948.886506289</v>
      </c>
      <c r="G19" s="137">
        <f t="shared" si="2"/>
        <v>-71797557.876961142</v>
      </c>
      <c r="H19" s="137">
        <f t="shared" si="2"/>
        <v>-71840757.796528578</v>
      </c>
      <c r="I19" s="137">
        <f t="shared" si="2"/>
        <v>-72416175.981809154</v>
      </c>
      <c r="J19" s="137">
        <f t="shared" si="2"/>
        <v>-72544087.445092365</v>
      </c>
      <c r="K19" s="137">
        <f t="shared" si="2"/>
        <v>-72215663.205477327</v>
      </c>
      <c r="L19" s="137">
        <f t="shared" si="2"/>
        <v>-72333620.305138454</v>
      </c>
      <c r="M19" s="137">
        <f t="shared" si="2"/>
        <v>-71208815.360760421</v>
      </c>
      <c r="O19" s="39"/>
    </row>
    <row r="20" spans="1:16">
      <c r="A20" s="1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6"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</row>
    <row r="22" spans="1:16">
      <c r="A22" s="11" t="s">
        <v>3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</row>
    <row r="23" spans="1:16">
      <c r="A23" s="40" t="s">
        <v>22</v>
      </c>
      <c r="B23" s="252">
        <f>+B9</f>
        <v>-69073651.178645372</v>
      </c>
      <c r="C23" s="252">
        <f>+C9</f>
        <v>-68635832.095527008</v>
      </c>
      <c r="D23" s="252">
        <f>+D9</f>
        <v>-69610204.799063161</v>
      </c>
      <c r="E23" s="252">
        <f>+E9</f>
        <v>-70198545.075008541</v>
      </c>
      <c r="F23" s="252">
        <f t="shared" ref="F23:M23" si="3">+F9</f>
        <v>-71849611.865769878</v>
      </c>
      <c r="G23" s="252">
        <f t="shared" si="3"/>
        <v>-72885948.886506289</v>
      </c>
      <c r="H23" s="252">
        <f t="shared" si="3"/>
        <v>-71797557.876961142</v>
      </c>
      <c r="I23" s="252">
        <f t="shared" si="3"/>
        <v>-71840757.796528578</v>
      </c>
      <c r="J23" s="252">
        <f t="shared" si="3"/>
        <v>-72416175.981809154</v>
      </c>
      <c r="K23" s="252">
        <f t="shared" si="3"/>
        <v>-72544087.445092365</v>
      </c>
      <c r="L23" s="252">
        <f t="shared" si="3"/>
        <v>-72215663.205477327</v>
      </c>
      <c r="M23" s="252">
        <f t="shared" si="3"/>
        <v>-72333620.305138454</v>
      </c>
    </row>
    <row r="24" spans="1:16">
      <c r="A24" s="40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</row>
    <row r="25" spans="1:16">
      <c r="A25" s="40" t="s">
        <v>23</v>
      </c>
      <c r="B25" s="252">
        <f>+B19</f>
        <v>-68635832.095527008</v>
      </c>
      <c r="C25" s="252">
        <f>+C19</f>
        <v>-69610204.799063161</v>
      </c>
      <c r="D25" s="252">
        <f>+D19</f>
        <v>-70198545.075008541</v>
      </c>
      <c r="E25" s="252">
        <f>+E19</f>
        <v>-71849611.865769878</v>
      </c>
      <c r="F25" s="252">
        <f t="shared" ref="F25:M25" si="4">+F19</f>
        <v>-72885948.886506289</v>
      </c>
      <c r="G25" s="252">
        <f t="shared" si="4"/>
        <v>-71797557.876961142</v>
      </c>
      <c r="H25" s="252">
        <f t="shared" si="4"/>
        <v>-71840757.796528578</v>
      </c>
      <c r="I25" s="252">
        <f t="shared" si="4"/>
        <v>-72416175.981809154</v>
      </c>
      <c r="J25" s="252">
        <f t="shared" si="4"/>
        <v>-72544087.445092365</v>
      </c>
      <c r="K25" s="252">
        <f t="shared" si="4"/>
        <v>-72215663.205477327</v>
      </c>
      <c r="L25" s="252">
        <f t="shared" si="4"/>
        <v>-72333620.305138454</v>
      </c>
      <c r="M25" s="252">
        <f t="shared" si="4"/>
        <v>-71208815.360760421</v>
      </c>
    </row>
    <row r="26" spans="1:16">
      <c r="A26" s="40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</row>
    <row r="27" spans="1:16">
      <c r="A27" s="40" t="s">
        <v>24</v>
      </c>
      <c r="B27" s="252">
        <f t="shared" ref="B27:M27" si="5">(B23+B25)/2</f>
        <v>-68854741.637086183</v>
      </c>
      <c r="C27" s="252">
        <f t="shared" si="5"/>
        <v>-69123018.447295085</v>
      </c>
      <c r="D27" s="252">
        <f t="shared" si="5"/>
        <v>-69904374.937035859</v>
      </c>
      <c r="E27" s="252">
        <f t="shared" si="5"/>
        <v>-71024078.470389217</v>
      </c>
      <c r="F27" s="252">
        <f t="shared" si="5"/>
        <v>-72367780.376138091</v>
      </c>
      <c r="G27" s="252">
        <f t="shared" si="5"/>
        <v>-72341753.381733716</v>
      </c>
      <c r="H27" s="252">
        <f t="shared" si="5"/>
        <v>-71819157.83674486</v>
      </c>
      <c r="I27" s="252">
        <f t="shared" si="5"/>
        <v>-72128466.889168859</v>
      </c>
      <c r="J27" s="252">
        <f t="shared" si="5"/>
        <v>-72480131.71345076</v>
      </c>
      <c r="K27" s="252">
        <f t="shared" si="5"/>
        <v>-72379875.325284839</v>
      </c>
      <c r="L27" s="252">
        <f t="shared" si="5"/>
        <v>-72274641.755307883</v>
      </c>
      <c r="M27" s="252">
        <f t="shared" si="5"/>
        <v>-71771217.83294943</v>
      </c>
    </row>
    <row r="28" spans="1:16">
      <c r="A28" s="40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</row>
    <row r="29" spans="1:16">
      <c r="A29" s="40" t="s">
        <v>28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</row>
    <row r="30" spans="1:16">
      <c r="A30" s="15" t="s">
        <v>27</v>
      </c>
      <c r="B30" s="253">
        <f>(B27*(1-INPUTS!D9))*(B31/12)</f>
        <v>-65503.52398265784</v>
      </c>
      <c r="C30" s="253">
        <f>(C27*(1-INPUTS!E9))*(C31/12)</f>
        <v>-65758.743536949856</v>
      </c>
      <c r="D30" s="253">
        <f>(D27*(1-INPUTS!F9))*(D31/12)</f>
        <v>-66502.07075520455</v>
      </c>
      <c r="E30" s="253">
        <f>(E27*(1-INPUTS!G9))*(E31/12)</f>
        <v>-67567.277384503323</v>
      </c>
      <c r="F30" s="253">
        <f>(F27*(1-INPUTS!H9))*(F31/12)</f>
        <v>-68845.580198747804</v>
      </c>
      <c r="G30" s="253">
        <f>(G27*(1-INPUTS!I9))*(G31/12)</f>
        <v>-68820.819959850254</v>
      </c>
      <c r="H30" s="253">
        <f>(H27*(1-INPUTS!J9))*(H31/12)</f>
        <v>-68323.659575532292</v>
      </c>
      <c r="I30" s="253">
        <f>(I27*(1-INPUTS!K9))*(I31/12)</f>
        <v>-68617.914298617281</v>
      </c>
      <c r="J30" s="253">
        <f>(J27*(1-INPUTS!L9))*(J31/12)</f>
        <v>-68952.463302847347</v>
      </c>
      <c r="K30" s="253">
        <f>(K27*(1-INPUTS!M9))*(K31/12)</f>
        <v>-68857.086476640456</v>
      </c>
      <c r="L30" s="253">
        <f>(L27*(1-INPUTS!N9))*(L31/12)</f>
        <v>-68756.974712208917</v>
      </c>
      <c r="M30" s="253">
        <f>(M27*(1-INPUTS!O9))*(M31/12)</f>
        <v>-68278.0528516716</v>
      </c>
      <c r="N30" s="32"/>
    </row>
    <row r="31" spans="1:16">
      <c r="A31" s="15" t="s">
        <v>25</v>
      </c>
      <c r="B31" s="202">
        <f>INPUTS!D8</f>
        <v>1.9300000000000001E-2</v>
      </c>
      <c r="C31" s="202">
        <f>INPUTS!E8</f>
        <v>1.9300000000000001E-2</v>
      </c>
      <c r="D31" s="202">
        <f>INPUTS!F8</f>
        <v>1.9300000000000001E-2</v>
      </c>
      <c r="E31" s="202">
        <f>INPUTS!G8</f>
        <v>1.9300000000000001E-2</v>
      </c>
      <c r="F31" s="202">
        <f>INPUTS!H8</f>
        <v>1.9300000000000001E-2</v>
      </c>
      <c r="G31" s="202">
        <f>INPUTS!I8</f>
        <v>1.9300000000000001E-2</v>
      </c>
      <c r="H31" s="202">
        <f>INPUTS!J8</f>
        <v>1.9300000000000001E-2</v>
      </c>
      <c r="I31" s="202">
        <f>INPUTS!K8</f>
        <v>1.9300000000000001E-2</v>
      </c>
      <c r="J31" s="202">
        <f>INPUTS!L8</f>
        <v>1.9300000000000001E-2</v>
      </c>
      <c r="K31" s="202">
        <f>INPUTS!M8</f>
        <v>1.9300000000000001E-2</v>
      </c>
      <c r="L31" s="202">
        <f>INPUTS!N8</f>
        <v>1.9300000000000001E-2</v>
      </c>
      <c r="M31" s="202">
        <f>INPUTS!O8</f>
        <v>1.9300000000000001E-2</v>
      </c>
      <c r="N31" s="19"/>
      <c r="O31" s="19"/>
      <c r="P31" s="19"/>
    </row>
    <row r="32" spans="1:16">
      <c r="A32" s="1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5">
      <c r="A33" s="15" t="s">
        <v>26</v>
      </c>
      <c r="B33" s="137">
        <f>+B30</f>
        <v>-65503.52398265784</v>
      </c>
      <c r="C33" s="137">
        <f t="shared" ref="C33:E33" si="6">+C30+B33</f>
        <v>-131262.2675196077</v>
      </c>
      <c r="D33" s="137">
        <f t="shared" si="6"/>
        <v>-197764.33827481227</v>
      </c>
      <c r="E33" s="137">
        <f t="shared" si="6"/>
        <v>-265331.6156593156</v>
      </c>
      <c r="F33" s="137">
        <f>+F30+E33</f>
        <v>-334177.19585806341</v>
      </c>
      <c r="G33" s="137">
        <f t="shared" ref="G33:M33" si="7">+G30+F33</f>
        <v>-402998.01581791369</v>
      </c>
      <c r="H33" s="137">
        <f t="shared" si="7"/>
        <v>-471321.675393446</v>
      </c>
      <c r="I33" s="137">
        <f t="shared" si="7"/>
        <v>-539939.58969206328</v>
      </c>
      <c r="J33" s="137">
        <f t="shared" si="7"/>
        <v>-608892.05299491063</v>
      </c>
      <c r="K33" s="137">
        <f t="shared" si="7"/>
        <v>-677749.13947155105</v>
      </c>
      <c r="L33" s="137">
        <f t="shared" si="7"/>
        <v>-746506.11418376002</v>
      </c>
      <c r="M33" s="137">
        <f t="shared" si="7"/>
        <v>-814784.1670354316</v>
      </c>
    </row>
    <row r="34" spans="1:15">
      <c r="B34" s="252"/>
      <c r="C34" s="252"/>
      <c r="D34" s="252"/>
      <c r="E34" s="63"/>
      <c r="F34" s="63"/>
      <c r="G34" s="63"/>
      <c r="H34" s="63"/>
      <c r="I34" s="63"/>
      <c r="J34" s="63"/>
      <c r="K34" s="63"/>
      <c r="L34" s="63"/>
      <c r="M34" s="63"/>
    </row>
    <row r="35" spans="1: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254"/>
      <c r="M35" s="255">
        <f>M19+M33</f>
        <v>-72023599.527795851</v>
      </c>
      <c r="N35" s="183"/>
      <c r="O35" s="183"/>
    </row>
    <row r="36" spans="1:15">
      <c r="B36" s="143"/>
      <c r="C36" s="41"/>
      <c r="D36" s="41"/>
      <c r="L36" s="377" t="s">
        <v>99</v>
      </c>
      <c r="M36" s="386"/>
    </row>
    <row r="37" spans="1:15" ht="15.75" customHeight="1">
      <c r="B37" s="142"/>
      <c r="C37" s="42"/>
      <c r="D37" s="42"/>
      <c r="L37" s="190" t="s">
        <v>127</v>
      </c>
      <c r="M37" s="189"/>
    </row>
    <row r="38" spans="1:15">
      <c r="B38" s="25"/>
      <c r="C38" s="25"/>
      <c r="D38" s="25"/>
      <c r="L38" s="191"/>
      <c r="M38" s="192"/>
    </row>
    <row r="39" spans="1:15">
      <c r="B39" s="25"/>
      <c r="C39" s="25"/>
      <c r="D39" s="25"/>
      <c r="L39" s="192"/>
      <c r="M39" s="192"/>
    </row>
  </sheetData>
  <protectedRanges>
    <protectedRange sqref="B36" name="Range1" securityDescriptor="O:WDG:WDD:(A;;CC;;;S-1-5-21-1876172974-742851678-1849977318-126664)(A;;CC;;;S-1-5-21-1876172974-742851678-1849977318-17411)(A;;CC;;;S-1-5-21-1876172974-742851678-1849977318-130404)(A;;CC;;;S-1-5-21-1876172974-742851678-1849977318-137880)(A;;CC;;;S-1-5-21-1876172974-742851678-1849977318-60683)(A;;CC;;;S-1-5-21-1876172974-742851678-1849977318-33978)(A;;CC;;;S-1-5-21-1876172974-742851678-1849977318-8288)"/>
  </protectedRanges>
  <mergeCells count="3">
    <mergeCell ref="A3:N3"/>
    <mergeCell ref="A4:N4"/>
    <mergeCell ref="L36:M36"/>
  </mergeCells>
  <phoneticPr fontId="3" type="noConversion"/>
  <printOptions horizontalCentered="1"/>
  <pageMargins left="0.25" right="0.25" top="1.25" bottom="1" header="0.33" footer="0.5"/>
  <pageSetup scale="67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92D050"/>
  </sheetPr>
  <dimension ref="A1:AB52"/>
  <sheetViews>
    <sheetView topLeftCell="O1" zoomScaleNormal="100" workbookViewId="0">
      <selection activeCell="B10" sqref="B10"/>
    </sheetView>
  </sheetViews>
  <sheetFormatPr defaultColWidth="12.85546875" defaultRowHeight="12.75"/>
  <cols>
    <col min="1" max="1" width="38.85546875" style="14" customWidth="1"/>
    <col min="2" max="2" width="20" style="14" customWidth="1"/>
    <col min="3" max="3" width="23.140625" style="14" customWidth="1"/>
    <col min="4" max="4" width="19.85546875" style="14" customWidth="1"/>
    <col min="5" max="5" width="21.140625" style="14" customWidth="1"/>
    <col min="6" max="6" width="18.5703125" style="14" customWidth="1"/>
    <col min="7" max="7" width="16.85546875" style="14" customWidth="1"/>
    <col min="8" max="8" width="17.42578125" style="14" customWidth="1"/>
    <col min="9" max="9" width="17.85546875" style="14" customWidth="1"/>
    <col min="10" max="10" width="15.85546875" style="14" customWidth="1"/>
    <col min="11" max="12" width="17.42578125" style="14" customWidth="1"/>
    <col min="13" max="13" width="17.85546875" style="14" customWidth="1"/>
    <col min="14" max="14" width="40.140625" style="14" customWidth="1"/>
    <col min="15" max="15" width="19.42578125" style="23" customWidth="1"/>
    <col min="16" max="16" width="19.5703125" style="14" customWidth="1"/>
    <col min="17" max="17" width="20.28515625" style="14" customWidth="1"/>
    <col min="18" max="18" width="19" style="14" customWidth="1"/>
    <col min="19" max="19" width="20" style="14" customWidth="1"/>
    <col min="20" max="20" width="20.28515625" style="14" customWidth="1"/>
    <col min="21" max="21" width="19.42578125" style="14" customWidth="1"/>
    <col min="22" max="22" width="20" style="14" customWidth="1"/>
    <col min="23" max="23" width="19.28515625" style="14" customWidth="1"/>
    <col min="24" max="24" width="18.7109375" style="14" customWidth="1"/>
    <col min="25" max="25" width="20.85546875" style="14" customWidth="1"/>
    <col min="26" max="26" width="13.42578125" style="14" customWidth="1"/>
    <col min="27" max="27" width="13" style="14" customWidth="1"/>
    <col min="28" max="16384" width="12.85546875" style="14"/>
  </cols>
  <sheetData>
    <row r="1" spans="1:28" ht="16.5">
      <c r="L1" s="73" t="s">
        <v>41</v>
      </c>
      <c r="O1" s="14"/>
      <c r="Y1" s="199" t="s">
        <v>41</v>
      </c>
      <c r="Z1" s="199"/>
    </row>
    <row r="2" spans="1:28" ht="16.5">
      <c r="L2" s="73" t="s">
        <v>42</v>
      </c>
      <c r="O2" s="14"/>
      <c r="Y2" s="199" t="s">
        <v>43</v>
      </c>
      <c r="Z2" s="199"/>
    </row>
    <row r="3" spans="1:28" ht="22.5"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14"/>
      <c r="V3" s="199"/>
      <c r="W3" s="199"/>
    </row>
    <row r="4" spans="1:28" ht="22.5">
      <c r="A4" s="187"/>
      <c r="B4" s="375" t="str">
        <f>INPUTS!C15</f>
        <v>MANUFACTURED GAS PLANT REMEDIATION (RAC 25) CARRYING CHARGES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O4" s="375" t="s">
        <v>182</v>
      </c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8" ht="12.7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198"/>
      <c r="Q5" s="127"/>
      <c r="R5" s="197"/>
      <c r="S5" s="197"/>
      <c r="T5" s="197"/>
      <c r="U5" s="197"/>
      <c r="V5" s="197"/>
      <c r="W5" s="197"/>
      <c r="X5" s="197"/>
      <c r="Y5" s="74"/>
      <c r="Z5" s="74"/>
    </row>
    <row r="6" spans="1:28">
      <c r="O6" s="14"/>
    </row>
    <row r="7" spans="1:28">
      <c r="O7" s="14"/>
    </row>
    <row r="8" spans="1:28">
      <c r="A8" s="20" t="s">
        <v>29</v>
      </c>
      <c r="B8" s="245" t="str">
        <f>CONCATENATE(LEFT(INPUTS!P3,3),"-",RIGHT(INPUTS!P4,2))</f>
        <v>Aug-17</v>
      </c>
      <c r="C8" s="245" t="str">
        <f>CONCATENATE(LEFT(INPUTS!Q3,3),"-",RIGHT(INPUTS!Q4,2))</f>
        <v>Sep-17</v>
      </c>
      <c r="D8" s="245" t="str">
        <f>CONCATENATE(LEFT(INPUTS!R3,3),"-",RIGHT(INPUTS!R4,2))</f>
        <v>Oct-17</v>
      </c>
      <c r="E8" s="245" t="str">
        <f>CONCATENATE(LEFT(INPUTS!S3,3),"-",RIGHT(INPUTS!S4,2))</f>
        <v>Nov-17</v>
      </c>
      <c r="F8" s="245" t="str">
        <f>CONCATENATE(LEFT(INPUTS!T3,3),"-",RIGHT(INPUTS!T4,2))</f>
        <v>Dec-17</v>
      </c>
      <c r="G8" s="245" t="str">
        <f>CONCATENATE(LEFT(INPUTS!U3,3),"-",RIGHT(INPUTS!U4,2))</f>
        <v>Jan-17</v>
      </c>
      <c r="H8" s="245" t="str">
        <f>CONCATENATE(LEFT(INPUTS!V3,3),"-",RIGHT(INPUTS!V4,2))</f>
        <v>Feb-17</v>
      </c>
      <c r="I8" s="245" t="str">
        <f>CONCATENATE(LEFT(INPUTS!W3,3),"-",RIGHT(INPUTS!W4,2))</f>
        <v>Mar-17</v>
      </c>
      <c r="J8" s="245" t="str">
        <f>CONCATENATE(LEFT(INPUTS!X3,3),"-",RIGHT(INPUTS!X4,2))</f>
        <v>Apr-17</v>
      </c>
      <c r="K8" s="245" t="str">
        <f>CONCATENATE(LEFT(INPUTS!Y3,3),"-",RIGHT(INPUTS!Y4,2))</f>
        <v>May-17</v>
      </c>
      <c r="L8" s="245" t="str">
        <f>CONCATENATE(LEFT(INPUTS!Z3,3),"-",RIGHT(INPUTS!Z4,2))</f>
        <v>Jun-17</v>
      </c>
      <c r="M8" s="245" t="str">
        <f>CONCATENATE(LEFT(INPUTS!AA3,3),"-",RIGHT(INPUTS!AA4,2))</f>
        <v>Jul-17</v>
      </c>
      <c r="N8" s="248" t="s">
        <v>29</v>
      </c>
      <c r="O8" s="245" t="str">
        <f>CONCATENATE(LEFT(INPUTS!AB3,3),"-",RIGHT(INPUTS!AB4,2))</f>
        <v>Aug-17</v>
      </c>
      <c r="P8" s="245" t="str">
        <f>CONCATENATE(LEFT(INPUTS!AC3,3),"-",RIGHT(INPUTS!AC4,2))</f>
        <v>Sep-17</v>
      </c>
      <c r="Q8" s="245" t="str">
        <f>CONCATENATE(LEFT(INPUTS!AD3,3),"-",RIGHT(INPUTS!AD4,2))</f>
        <v>Oct-17</v>
      </c>
      <c r="R8" s="245" t="str">
        <f>CONCATENATE(LEFT(INPUTS!AE3,3),"-",RIGHT(INPUTS!AE4,2))</f>
        <v>Nov-17</v>
      </c>
      <c r="S8" s="245" t="str">
        <f>CONCATENATE(LEFT(INPUTS!AF3,3),"-",RIGHT(INPUTS!AF4,2))</f>
        <v>Dec-17</v>
      </c>
      <c r="T8" s="245" t="str">
        <f>CONCATENATE(LEFT(INPUTS!AG3,3),"-",RIGHT(INPUTS!AG4,2))</f>
        <v>Jan-18</v>
      </c>
      <c r="U8" s="245" t="str">
        <f>CONCATENATE(LEFT(INPUTS!AH3,3),"-",RIGHT(INPUTS!AH4,2))</f>
        <v>Feb-18</v>
      </c>
      <c r="V8" s="245" t="str">
        <f>CONCATENATE(LEFT(INPUTS!AI3,3),"-",RIGHT(INPUTS!AI4,2))</f>
        <v>Mar-18</v>
      </c>
      <c r="W8" s="245" t="str">
        <f>CONCATENATE(LEFT(INPUTS!AJ3,3),"-",RIGHT(INPUTS!AJ4,2))</f>
        <v>Apr-18</v>
      </c>
      <c r="X8" s="245" t="str">
        <f>CONCATENATE(LEFT(INPUTS!AK3,3),"-",RIGHT(INPUTS!AK4,2))</f>
        <v>May-18</v>
      </c>
      <c r="Y8" s="245" t="str">
        <f>CONCATENATE(LEFT(INPUTS!AL3,3),"-",RIGHT(INPUTS!AL4,2))</f>
        <v>Jun-18</v>
      </c>
      <c r="Z8" s="245" t="s">
        <v>5</v>
      </c>
      <c r="AA8" s="247"/>
      <c r="AB8" s="247"/>
    </row>
    <row r="9" spans="1:28">
      <c r="M9" s="23"/>
      <c r="O9" s="14"/>
      <c r="Z9" s="23"/>
    </row>
    <row r="10" spans="1:28">
      <c r="A10" s="11" t="s">
        <v>0</v>
      </c>
      <c r="B10" s="256">
        <f>'A-4-GAS (PAGE 1)'!M36</f>
        <v>-117409621.97628024</v>
      </c>
      <c r="C10" s="58">
        <f>B10</f>
        <v>-117409621.97628024</v>
      </c>
      <c r="D10" s="58">
        <f t="shared" ref="D10:L10" si="0">C10</f>
        <v>-117409621.97628024</v>
      </c>
      <c r="E10" s="58">
        <f t="shared" si="0"/>
        <v>-117409621.97628024</v>
      </c>
      <c r="F10" s="58">
        <f t="shared" si="0"/>
        <v>-117409621.97628024</v>
      </c>
      <c r="G10" s="58">
        <f t="shared" si="0"/>
        <v>-117409621.97628024</v>
      </c>
      <c r="H10" s="58">
        <f t="shared" si="0"/>
        <v>-117409621.97628024</v>
      </c>
      <c r="I10" s="58">
        <f t="shared" si="0"/>
        <v>-117409621.97628024</v>
      </c>
      <c r="J10" s="58">
        <f t="shared" si="0"/>
        <v>-117409621.97628024</v>
      </c>
      <c r="K10" s="58">
        <f t="shared" si="0"/>
        <v>-117409621.97628024</v>
      </c>
      <c r="L10" s="58">
        <f t="shared" si="0"/>
        <v>-117409621.97628024</v>
      </c>
      <c r="M10" s="58">
        <f>L10</f>
        <v>-117409621.97628024</v>
      </c>
      <c r="N10" s="58" t="s">
        <v>0</v>
      </c>
      <c r="O10" s="58">
        <f>M27+M33</f>
        <v>-119263878.00663273</v>
      </c>
      <c r="P10" s="58">
        <f>O10</f>
        <v>-119263878.00663273</v>
      </c>
      <c r="Q10" s="58">
        <f>P10</f>
        <v>-119263878.00663273</v>
      </c>
      <c r="R10" s="58">
        <f t="shared" ref="R10:Y10" si="1">Q10</f>
        <v>-119263878.00663273</v>
      </c>
      <c r="S10" s="58">
        <f t="shared" si="1"/>
        <v>-119263878.00663273</v>
      </c>
      <c r="T10" s="58">
        <f t="shared" si="1"/>
        <v>-119263878.00663273</v>
      </c>
      <c r="U10" s="58">
        <f t="shared" si="1"/>
        <v>-119263878.00663273</v>
      </c>
      <c r="V10" s="58">
        <f t="shared" si="1"/>
        <v>-119263878.00663273</v>
      </c>
      <c r="W10" s="58">
        <f t="shared" si="1"/>
        <v>-119263878.00663273</v>
      </c>
      <c r="X10" s="58">
        <f t="shared" si="1"/>
        <v>-119263878.00663273</v>
      </c>
      <c r="Y10" s="58">
        <f t="shared" si="1"/>
        <v>-119263878.00663273</v>
      </c>
      <c r="Z10" s="257"/>
    </row>
    <row r="11" spans="1:28">
      <c r="A11" s="11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5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257"/>
    </row>
    <row r="12" spans="1:28">
      <c r="A12" s="11" t="s">
        <v>20</v>
      </c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58" t="s">
        <v>20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257"/>
    </row>
    <row r="13" spans="1:28">
      <c r="A13" s="11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5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257"/>
    </row>
    <row r="14" spans="1:28">
      <c r="A14" s="11" t="s">
        <v>4</v>
      </c>
      <c r="B14" s="80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58" t="s">
        <v>4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257"/>
    </row>
    <row r="15" spans="1:28">
      <c r="A15" s="11" t="s">
        <v>1</v>
      </c>
      <c r="B15" s="139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8" t="s">
        <v>1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8">
      <c r="A16" s="11" t="s">
        <v>2</v>
      </c>
      <c r="B16" s="137">
        <f>B12+B14</f>
        <v>0</v>
      </c>
      <c r="C16" s="137">
        <f>C12+C14</f>
        <v>0</v>
      </c>
      <c r="D16" s="137">
        <f t="shared" ref="D16:L16" si="2">D12+D14</f>
        <v>0</v>
      </c>
      <c r="E16" s="137">
        <f t="shared" si="2"/>
        <v>0</v>
      </c>
      <c r="F16" s="137">
        <f t="shared" si="2"/>
        <v>0</v>
      </c>
      <c r="G16" s="137">
        <f t="shared" si="2"/>
        <v>0</v>
      </c>
      <c r="H16" s="137">
        <f t="shared" si="2"/>
        <v>0</v>
      </c>
      <c r="I16" s="137">
        <f t="shared" si="2"/>
        <v>0</v>
      </c>
      <c r="J16" s="137">
        <f t="shared" si="2"/>
        <v>0</v>
      </c>
      <c r="K16" s="137">
        <f t="shared" si="2"/>
        <v>0</v>
      </c>
      <c r="L16" s="137">
        <f t="shared" si="2"/>
        <v>0</v>
      </c>
      <c r="M16" s="137">
        <f>M12+M14</f>
        <v>0</v>
      </c>
      <c r="N16" s="58" t="s">
        <v>2</v>
      </c>
      <c r="O16" s="137">
        <f t="shared" ref="O16:Y16" si="3">O12+O14</f>
        <v>0</v>
      </c>
      <c r="P16" s="137">
        <f t="shared" si="3"/>
        <v>0</v>
      </c>
      <c r="Q16" s="137">
        <f t="shared" si="3"/>
        <v>0</v>
      </c>
      <c r="R16" s="137">
        <f t="shared" si="3"/>
        <v>0</v>
      </c>
      <c r="S16" s="137">
        <f t="shared" si="3"/>
        <v>0</v>
      </c>
      <c r="T16" s="137">
        <f t="shared" si="3"/>
        <v>0</v>
      </c>
      <c r="U16" s="137">
        <f t="shared" si="3"/>
        <v>0</v>
      </c>
      <c r="V16" s="137">
        <f t="shared" si="3"/>
        <v>0</v>
      </c>
      <c r="W16" s="137">
        <f t="shared" si="3"/>
        <v>0</v>
      </c>
      <c r="X16" s="137">
        <f t="shared" si="3"/>
        <v>0</v>
      </c>
      <c r="Y16" s="137">
        <f t="shared" si="3"/>
        <v>0</v>
      </c>
      <c r="Z16" s="63"/>
    </row>
    <row r="17" spans="1:26">
      <c r="A17" s="1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>
      <c r="A19" s="11" t="s">
        <v>21</v>
      </c>
      <c r="B19" s="137">
        <f t="shared" ref="B19:L19" si="4">+B10+B16</f>
        <v>-117409621.97628024</v>
      </c>
      <c r="C19" s="137">
        <f t="shared" si="4"/>
        <v>-117409621.97628024</v>
      </c>
      <c r="D19" s="137">
        <f t="shared" si="4"/>
        <v>-117409621.97628024</v>
      </c>
      <c r="E19" s="137">
        <f t="shared" si="4"/>
        <v>-117409621.97628024</v>
      </c>
      <c r="F19" s="137">
        <f t="shared" si="4"/>
        <v>-117409621.97628024</v>
      </c>
      <c r="G19" s="137">
        <f t="shared" si="4"/>
        <v>-117409621.97628024</v>
      </c>
      <c r="H19" s="137">
        <f t="shared" si="4"/>
        <v>-117409621.97628024</v>
      </c>
      <c r="I19" s="137">
        <f t="shared" si="4"/>
        <v>-117409621.97628024</v>
      </c>
      <c r="J19" s="137">
        <f t="shared" si="4"/>
        <v>-117409621.97628024</v>
      </c>
      <c r="K19" s="137">
        <f t="shared" si="4"/>
        <v>-117409621.97628024</v>
      </c>
      <c r="L19" s="137">
        <f t="shared" si="4"/>
        <v>-117409621.97628024</v>
      </c>
      <c r="M19" s="137">
        <f>+M10+M16</f>
        <v>-117409621.97628024</v>
      </c>
      <c r="N19" s="58" t="s">
        <v>21</v>
      </c>
      <c r="O19" s="137">
        <f t="shared" ref="O19:Y19" si="5">+O10+O16</f>
        <v>-119263878.00663273</v>
      </c>
      <c r="P19" s="137">
        <f t="shared" si="5"/>
        <v>-119263878.00663273</v>
      </c>
      <c r="Q19" s="137">
        <f t="shared" si="5"/>
        <v>-119263878.00663273</v>
      </c>
      <c r="R19" s="137">
        <f t="shared" si="5"/>
        <v>-119263878.00663273</v>
      </c>
      <c r="S19" s="137">
        <f t="shared" si="5"/>
        <v>-119263878.00663273</v>
      </c>
      <c r="T19" s="137">
        <f t="shared" si="5"/>
        <v>-119263878.00663273</v>
      </c>
      <c r="U19" s="137">
        <f t="shared" si="5"/>
        <v>-119263878.00663273</v>
      </c>
      <c r="V19" s="137">
        <f t="shared" si="5"/>
        <v>-119263878.00663273</v>
      </c>
      <c r="W19" s="137">
        <f t="shared" si="5"/>
        <v>-119263878.00663273</v>
      </c>
      <c r="X19" s="137">
        <f t="shared" si="5"/>
        <v>-119263878.00663273</v>
      </c>
      <c r="Y19" s="137">
        <f t="shared" si="5"/>
        <v>-119263878.00663273</v>
      </c>
      <c r="Z19" s="63"/>
    </row>
    <row r="20" spans="1:26">
      <c r="A20" s="11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5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>
      <c r="A22" s="11" t="s">
        <v>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58" t="s">
        <v>3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>
      <c r="A23" s="40" t="s">
        <v>22</v>
      </c>
      <c r="B23" s="63">
        <f t="shared" ref="B23:L23" si="6">+B10</f>
        <v>-117409621.97628024</v>
      </c>
      <c r="C23" s="63">
        <f t="shared" si="6"/>
        <v>-117409621.97628024</v>
      </c>
      <c r="D23" s="63">
        <f t="shared" si="6"/>
        <v>-117409621.97628024</v>
      </c>
      <c r="E23" s="63">
        <f t="shared" si="6"/>
        <v>-117409621.97628024</v>
      </c>
      <c r="F23" s="63">
        <f t="shared" si="6"/>
        <v>-117409621.97628024</v>
      </c>
      <c r="G23" s="63">
        <f t="shared" si="6"/>
        <v>-117409621.97628024</v>
      </c>
      <c r="H23" s="63">
        <f t="shared" si="6"/>
        <v>-117409621.97628024</v>
      </c>
      <c r="I23" s="63">
        <f t="shared" si="6"/>
        <v>-117409621.97628024</v>
      </c>
      <c r="J23" s="63">
        <f t="shared" si="6"/>
        <v>-117409621.97628024</v>
      </c>
      <c r="K23" s="63">
        <f t="shared" si="6"/>
        <v>-117409621.97628024</v>
      </c>
      <c r="L23" s="63">
        <f t="shared" si="6"/>
        <v>-117409621.97628024</v>
      </c>
      <c r="M23" s="63">
        <f>+M10</f>
        <v>-117409621.97628024</v>
      </c>
      <c r="N23" s="146" t="s">
        <v>22</v>
      </c>
      <c r="O23" s="63">
        <f>+O10</f>
        <v>-119263878.00663273</v>
      </c>
      <c r="P23" s="63">
        <f t="shared" ref="P23:V23" si="7">+P10</f>
        <v>-119263878.00663273</v>
      </c>
      <c r="Q23" s="63">
        <f t="shared" si="7"/>
        <v>-119263878.00663273</v>
      </c>
      <c r="R23" s="63">
        <f t="shared" si="7"/>
        <v>-119263878.00663273</v>
      </c>
      <c r="S23" s="63">
        <f t="shared" si="7"/>
        <v>-119263878.00663273</v>
      </c>
      <c r="T23" s="63">
        <f t="shared" si="7"/>
        <v>-119263878.00663273</v>
      </c>
      <c r="U23" s="63">
        <f t="shared" si="7"/>
        <v>-119263878.00663273</v>
      </c>
      <c r="V23" s="63">
        <f t="shared" si="7"/>
        <v>-119263878.00663273</v>
      </c>
      <c r="W23" s="63">
        <f>+W10</f>
        <v>-119263878.00663273</v>
      </c>
      <c r="X23" s="63">
        <f>+X10</f>
        <v>-119263878.00663273</v>
      </c>
      <c r="Y23" s="63">
        <f>+Y10</f>
        <v>-119263878.00663273</v>
      </c>
      <c r="Z23" s="63"/>
    </row>
    <row r="24" spans="1:26">
      <c r="A24" s="4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146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>
      <c r="A25" s="40" t="s">
        <v>23</v>
      </c>
      <c r="B25" s="138">
        <f t="shared" ref="B25:L25" si="8">+B19</f>
        <v>-117409621.97628024</v>
      </c>
      <c r="C25" s="138">
        <f t="shared" si="8"/>
        <v>-117409621.97628024</v>
      </c>
      <c r="D25" s="138">
        <f t="shared" si="8"/>
        <v>-117409621.97628024</v>
      </c>
      <c r="E25" s="138">
        <f t="shared" si="8"/>
        <v>-117409621.97628024</v>
      </c>
      <c r="F25" s="138">
        <f t="shared" si="8"/>
        <v>-117409621.97628024</v>
      </c>
      <c r="G25" s="138">
        <f t="shared" si="8"/>
        <v>-117409621.97628024</v>
      </c>
      <c r="H25" s="138">
        <f t="shared" si="8"/>
        <v>-117409621.97628024</v>
      </c>
      <c r="I25" s="138">
        <f t="shared" si="8"/>
        <v>-117409621.97628024</v>
      </c>
      <c r="J25" s="138">
        <f t="shared" si="8"/>
        <v>-117409621.97628024</v>
      </c>
      <c r="K25" s="138">
        <f t="shared" si="8"/>
        <v>-117409621.97628024</v>
      </c>
      <c r="L25" s="138">
        <f t="shared" si="8"/>
        <v>-117409621.97628024</v>
      </c>
      <c r="M25" s="138">
        <f>+M19</f>
        <v>-117409621.97628024</v>
      </c>
      <c r="N25" s="146" t="s">
        <v>23</v>
      </c>
      <c r="O25" s="138">
        <f>+O19</f>
        <v>-119263878.00663273</v>
      </c>
      <c r="P25" s="138">
        <f t="shared" ref="P25:V25" si="9">+P19</f>
        <v>-119263878.00663273</v>
      </c>
      <c r="Q25" s="138">
        <f t="shared" si="9"/>
        <v>-119263878.00663273</v>
      </c>
      <c r="R25" s="138">
        <f t="shared" si="9"/>
        <v>-119263878.00663273</v>
      </c>
      <c r="S25" s="138">
        <f t="shared" si="9"/>
        <v>-119263878.00663273</v>
      </c>
      <c r="T25" s="138">
        <f t="shared" si="9"/>
        <v>-119263878.00663273</v>
      </c>
      <c r="U25" s="138">
        <f t="shared" si="9"/>
        <v>-119263878.00663273</v>
      </c>
      <c r="V25" s="138">
        <f t="shared" si="9"/>
        <v>-119263878.00663273</v>
      </c>
      <c r="W25" s="138">
        <f>+W19</f>
        <v>-119263878.00663273</v>
      </c>
      <c r="X25" s="138">
        <f>+X19</f>
        <v>-119263878.00663273</v>
      </c>
      <c r="Y25" s="138">
        <f>+Y19</f>
        <v>-119263878.00663273</v>
      </c>
      <c r="Z25" s="63"/>
    </row>
    <row r="26" spans="1:26">
      <c r="A26" s="4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146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>
      <c r="A27" s="40" t="s">
        <v>24</v>
      </c>
      <c r="B27" s="138">
        <f t="shared" ref="B27:L27" si="10">(+B23+B25)/2</f>
        <v>-117409621.97628024</v>
      </c>
      <c r="C27" s="138">
        <f t="shared" si="10"/>
        <v>-117409621.97628024</v>
      </c>
      <c r="D27" s="138">
        <f t="shared" si="10"/>
        <v>-117409621.97628024</v>
      </c>
      <c r="E27" s="138">
        <f t="shared" si="10"/>
        <v>-117409621.97628024</v>
      </c>
      <c r="F27" s="138">
        <f t="shared" si="10"/>
        <v>-117409621.97628024</v>
      </c>
      <c r="G27" s="138">
        <f t="shared" si="10"/>
        <v>-117409621.97628024</v>
      </c>
      <c r="H27" s="138">
        <f t="shared" si="10"/>
        <v>-117409621.97628024</v>
      </c>
      <c r="I27" s="138">
        <f t="shared" si="10"/>
        <v>-117409621.97628024</v>
      </c>
      <c r="J27" s="138">
        <f t="shared" si="10"/>
        <v>-117409621.97628024</v>
      </c>
      <c r="K27" s="138">
        <f t="shared" si="10"/>
        <v>-117409621.97628024</v>
      </c>
      <c r="L27" s="138">
        <f t="shared" si="10"/>
        <v>-117409621.97628024</v>
      </c>
      <c r="M27" s="138">
        <f>(+M23+M25)/2</f>
        <v>-117409621.97628024</v>
      </c>
      <c r="N27" s="146" t="s">
        <v>24</v>
      </c>
      <c r="O27" s="138">
        <f>(+O23+O25)/2</f>
        <v>-119263878.00663273</v>
      </c>
      <c r="P27" s="138">
        <f t="shared" ref="P27:V27" si="11">(+P23+P25)/2</f>
        <v>-119263878.00663273</v>
      </c>
      <c r="Q27" s="138">
        <f t="shared" si="11"/>
        <v>-119263878.00663273</v>
      </c>
      <c r="R27" s="138">
        <f t="shared" si="11"/>
        <v>-119263878.00663273</v>
      </c>
      <c r="S27" s="138">
        <f t="shared" si="11"/>
        <v>-119263878.00663273</v>
      </c>
      <c r="T27" s="138">
        <f t="shared" si="11"/>
        <v>-119263878.00663273</v>
      </c>
      <c r="U27" s="138">
        <f t="shared" si="11"/>
        <v>-119263878.00663273</v>
      </c>
      <c r="V27" s="138">
        <f t="shared" si="11"/>
        <v>-119263878.00663273</v>
      </c>
      <c r="W27" s="138">
        <f>(+W23+W25)/2</f>
        <v>-119263878.00663273</v>
      </c>
      <c r="X27" s="138">
        <f>(+X23+X25)/2</f>
        <v>-119263878.00663273</v>
      </c>
      <c r="Y27" s="138">
        <f>(+Y23+Y25)/2</f>
        <v>-119263878.00663273</v>
      </c>
      <c r="Z27" s="63"/>
    </row>
    <row r="28" spans="1:26">
      <c r="A28" s="4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146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>
      <c r="A29" s="40" t="s">
        <v>28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46" t="s">
        <v>28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>
      <c r="A30" s="15" t="s">
        <v>27</v>
      </c>
      <c r="B30" s="253">
        <f>(B27*(1-INPUTS!P9))*(B31/12)</f>
        <v>-154521.33586270773</v>
      </c>
      <c r="C30" s="253">
        <f>(C27*(1-INPUTS!Q9))*(C31/12)</f>
        <v>-154521.33586270773</v>
      </c>
      <c r="D30" s="253">
        <f>(D27*(1-INPUTS!R9))*(D31/12)</f>
        <v>-154521.33586270773</v>
      </c>
      <c r="E30" s="253">
        <f>(E27*(1-INPUTS!S9))*(E31/12)</f>
        <v>-154521.33586270773</v>
      </c>
      <c r="F30" s="253">
        <f>(F27*(1-INPUTS!T9))*(F31/12)</f>
        <v>-154521.33586270773</v>
      </c>
      <c r="G30" s="253">
        <f>(G27*(1-INPUTS!U9))*(G31/12)</f>
        <v>-154521.33586270773</v>
      </c>
      <c r="H30" s="253">
        <f>(H27*(1-INPUTS!V9))*(H31/12)</f>
        <v>-154521.33586270773</v>
      </c>
      <c r="I30" s="253">
        <f>(I27*(1-INPUTS!W9))*(I31/12)</f>
        <v>-154521.33586270773</v>
      </c>
      <c r="J30" s="253">
        <f>(J27*(1-INPUTS!X9))*(J31/12)</f>
        <v>-154521.33586270773</v>
      </c>
      <c r="K30" s="253">
        <f>(K27*(1-INPUTS!Y9))*(K31/12)</f>
        <v>-154521.33586270773</v>
      </c>
      <c r="L30" s="253">
        <f>(L27*(1-INPUTS!Z9))*(L31/12)</f>
        <v>-154521.33586270773</v>
      </c>
      <c r="M30" s="253">
        <f>(M27*(1-INPUTS!AA9))*(M31/12)</f>
        <v>-154521.33586270773</v>
      </c>
      <c r="N30" s="258" t="s">
        <v>27</v>
      </c>
      <c r="O30" s="253">
        <f>(O27*(1-INPUTS!AB9))*(O31/12)</f>
        <v>-156961.69904605427</v>
      </c>
      <c r="P30" s="253">
        <f>(P27*(1-INPUTS!AC9))*(P31/12)</f>
        <v>-156961.69904605427</v>
      </c>
      <c r="Q30" s="253">
        <f>(Q27*(1-INPUTS!AD9))*(Q31/12)</f>
        <v>-156961.69904605427</v>
      </c>
      <c r="R30" s="253">
        <f>(R27*(1-INPUTS!AE9))*(R31/12)</f>
        <v>-156961.69904605427</v>
      </c>
      <c r="S30" s="253">
        <f>(S27*(1-INPUTS!AF9))*(S31/12)</f>
        <v>-156961.69904605427</v>
      </c>
      <c r="T30" s="253">
        <f>(T27*(1-INPUTS!AG9))*(T31/12)</f>
        <v>-156961.69904605427</v>
      </c>
      <c r="U30" s="253">
        <f>(U27*(1-INPUTS!AH9))*(U31/12)</f>
        <v>-156961.69904605427</v>
      </c>
      <c r="V30" s="253">
        <f>(V27*(1-INPUTS!AI9))*(V31/12)</f>
        <v>-156961.69904605427</v>
      </c>
      <c r="W30" s="253">
        <f>(W27*(1-INPUTS!AJ9))*(W31/12)</f>
        <v>-156961.69904605427</v>
      </c>
      <c r="X30" s="253">
        <f>(X27*(1-INPUTS!AK9))*(X31/12)</f>
        <v>-156961.69904605427</v>
      </c>
      <c r="Y30" s="253">
        <f>(Y27*(1-INPUTS!AL9))*(Y31/12)</f>
        <v>-156961.69904605427</v>
      </c>
      <c r="Z30" s="257">
        <f>SUM(B30:Y30)</f>
        <v>-3580834.7198590911</v>
      </c>
    </row>
    <row r="31" spans="1:26" ht="38.25">
      <c r="A31" s="15" t="s">
        <v>25</v>
      </c>
      <c r="B31" s="246">
        <f>INPUTS!P8</f>
        <v>2.6699999999999998E-2</v>
      </c>
      <c r="C31" s="246">
        <f>INPUTS!Q8</f>
        <v>2.6699999999999998E-2</v>
      </c>
      <c r="D31" s="246">
        <f>INPUTS!R8</f>
        <v>2.6699999999999998E-2</v>
      </c>
      <c r="E31" s="246">
        <f>INPUTS!S8</f>
        <v>2.6699999999999998E-2</v>
      </c>
      <c r="F31" s="246">
        <f>INPUTS!T8</f>
        <v>2.6699999999999998E-2</v>
      </c>
      <c r="G31" s="246">
        <f>INPUTS!U8</f>
        <v>2.6699999999999998E-2</v>
      </c>
      <c r="H31" s="246">
        <f>INPUTS!V8</f>
        <v>2.6699999999999998E-2</v>
      </c>
      <c r="I31" s="246">
        <f>INPUTS!W8</f>
        <v>2.6699999999999998E-2</v>
      </c>
      <c r="J31" s="246">
        <f>INPUTS!X8</f>
        <v>2.6699999999999998E-2</v>
      </c>
      <c r="K31" s="246">
        <f>INPUTS!Y8</f>
        <v>2.6699999999999998E-2</v>
      </c>
      <c r="L31" s="246">
        <f>INPUTS!Z8</f>
        <v>2.6699999999999998E-2</v>
      </c>
      <c r="M31" s="246">
        <f>INPUTS!AA8</f>
        <v>2.6699999999999998E-2</v>
      </c>
      <c r="N31" s="263" t="s">
        <v>25</v>
      </c>
      <c r="O31" s="246">
        <f>INPUTS!AB8</f>
        <v>2.6699999999999998E-2</v>
      </c>
      <c r="P31" s="246">
        <f>INPUTS!AC8</f>
        <v>2.6699999999999998E-2</v>
      </c>
      <c r="Q31" s="246">
        <f>INPUTS!AD8</f>
        <v>2.6699999999999998E-2</v>
      </c>
      <c r="R31" s="246">
        <f>INPUTS!AE8</f>
        <v>2.6699999999999998E-2</v>
      </c>
      <c r="S31" s="246">
        <f>INPUTS!AF8</f>
        <v>2.6699999999999998E-2</v>
      </c>
      <c r="T31" s="246">
        <f>INPUTS!AG8</f>
        <v>2.6699999999999998E-2</v>
      </c>
      <c r="U31" s="246">
        <f>INPUTS!AH8</f>
        <v>2.6699999999999998E-2</v>
      </c>
      <c r="V31" s="246">
        <f>INPUTS!AI8</f>
        <v>2.6699999999999998E-2</v>
      </c>
      <c r="W31" s="246">
        <f>INPUTS!AJ8</f>
        <v>2.6699999999999998E-2</v>
      </c>
      <c r="X31" s="246">
        <f>INPUTS!AK8</f>
        <v>2.6699999999999998E-2</v>
      </c>
      <c r="Y31" s="246">
        <f>INPUTS!AL8</f>
        <v>2.6699999999999998E-2</v>
      </c>
      <c r="Z31" s="259" t="s">
        <v>124</v>
      </c>
    </row>
    <row r="32" spans="1:26">
      <c r="A32" s="15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25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>
      <c r="A33" s="15" t="s">
        <v>26</v>
      </c>
      <c r="B33" s="137">
        <f>B30</f>
        <v>-154521.33586270773</v>
      </c>
      <c r="C33" s="137">
        <f>C30+B33</f>
        <v>-309042.67172541545</v>
      </c>
      <c r="D33" s="137">
        <f t="shared" ref="D33:M33" si="12">D30+C33</f>
        <v>-463564.0075881232</v>
      </c>
      <c r="E33" s="137">
        <f t="shared" si="12"/>
        <v>-618085.3434508309</v>
      </c>
      <c r="F33" s="137">
        <f t="shared" si="12"/>
        <v>-772606.6793135386</v>
      </c>
      <c r="G33" s="137">
        <f t="shared" si="12"/>
        <v>-927128.01517624629</v>
      </c>
      <c r="H33" s="137">
        <f t="shared" si="12"/>
        <v>-1081649.351038954</v>
      </c>
      <c r="I33" s="137">
        <f t="shared" si="12"/>
        <v>-1236170.6869016618</v>
      </c>
      <c r="J33" s="137">
        <f t="shared" si="12"/>
        <v>-1390692.0227643696</v>
      </c>
      <c r="K33" s="137">
        <f t="shared" si="12"/>
        <v>-1545213.3586270774</v>
      </c>
      <c r="L33" s="137">
        <f t="shared" si="12"/>
        <v>-1699734.6944897852</v>
      </c>
      <c r="M33" s="137">
        <f t="shared" si="12"/>
        <v>-1854256.030352493</v>
      </c>
      <c r="N33" s="258" t="s">
        <v>26</v>
      </c>
      <c r="O33" s="137">
        <f>O30</f>
        <v>-156961.69904605427</v>
      </c>
      <c r="P33" s="137">
        <f t="shared" ref="P33:Y33" si="13">P30+O33</f>
        <v>-313923.39809210855</v>
      </c>
      <c r="Q33" s="137">
        <f t="shared" si="13"/>
        <v>-470885.09713816282</v>
      </c>
      <c r="R33" s="137">
        <f t="shared" si="13"/>
        <v>-627846.79618421709</v>
      </c>
      <c r="S33" s="137">
        <f t="shared" si="13"/>
        <v>-784808.49523027136</v>
      </c>
      <c r="T33" s="137">
        <f t="shared" si="13"/>
        <v>-941770.19427632564</v>
      </c>
      <c r="U33" s="137">
        <f t="shared" si="13"/>
        <v>-1098731.8933223798</v>
      </c>
      <c r="V33" s="137">
        <f t="shared" si="13"/>
        <v>-1255693.5923684342</v>
      </c>
      <c r="W33" s="137">
        <f t="shared" si="13"/>
        <v>-1412655.2914144886</v>
      </c>
      <c r="X33" s="137">
        <f t="shared" si="13"/>
        <v>-1569616.990460543</v>
      </c>
      <c r="Y33" s="137">
        <f t="shared" si="13"/>
        <v>-1726578.6895065974</v>
      </c>
      <c r="Z33" s="63"/>
    </row>
    <row r="34" spans="1:26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>
      <c r="B35" s="260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>
      <c r="A36" s="15"/>
      <c r="B36" s="258"/>
      <c r="C36" s="63"/>
      <c r="D36" s="63"/>
      <c r="E36" s="261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>
      <c r="B39" s="2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257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257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257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257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257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257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257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257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257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2:26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257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2:26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257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2:26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257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2:26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257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</sheetData>
  <mergeCells count="4">
    <mergeCell ref="A5:L5"/>
    <mergeCell ref="C3:N3"/>
    <mergeCell ref="B4:M4"/>
    <mergeCell ref="O4:Z4"/>
  </mergeCells>
  <phoneticPr fontId="3" type="noConversion"/>
  <printOptions horizontalCentered="1"/>
  <pageMargins left="0.25" right="0.25" top="1.25" bottom="1" header="0" footer="0"/>
  <pageSetup scale="50" fitToWidth="2" fitToHeight="0" orientation="landscape" r:id="rId1"/>
  <headerFooter alignWithMargins="0">
    <oddHeader xml:space="preserve">&amp;C&amp;"Arial,Bold"&amp;13
&amp;R
</oddHeader>
  </headerFooter>
  <colBreaks count="1" manualBreakCount="1">
    <brk id="13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92D050"/>
  </sheetPr>
  <dimension ref="A1:Z69"/>
  <sheetViews>
    <sheetView topLeftCell="M1" zoomScaleNormal="100" workbookViewId="0">
      <selection activeCell="B10" sqref="B10"/>
    </sheetView>
  </sheetViews>
  <sheetFormatPr defaultColWidth="12.5703125" defaultRowHeight="12.75"/>
  <cols>
    <col min="1" max="1" width="38.7109375" style="14" bestFit="1" customWidth="1"/>
    <col min="2" max="2" width="17.85546875" style="14" customWidth="1"/>
    <col min="3" max="3" width="17.5703125" style="14" customWidth="1"/>
    <col min="4" max="4" width="16.85546875" style="14" customWidth="1"/>
    <col min="5" max="5" width="18.5703125" style="14" customWidth="1"/>
    <col min="6" max="6" width="18" style="14" customWidth="1"/>
    <col min="7" max="7" width="17.5703125" style="14" customWidth="1"/>
    <col min="8" max="8" width="18.5703125" style="14" customWidth="1"/>
    <col min="9" max="10" width="16.7109375" style="14" customWidth="1"/>
    <col min="11" max="11" width="16.5703125" style="14" customWidth="1"/>
    <col min="12" max="12" width="20" style="14" customWidth="1"/>
    <col min="13" max="13" width="18.5703125" style="14" customWidth="1"/>
    <col min="14" max="14" width="37.85546875" style="14" customWidth="1"/>
    <col min="15" max="15" width="18.85546875" style="14" customWidth="1"/>
    <col min="16" max="16" width="17.5703125" style="14" customWidth="1"/>
    <col min="17" max="17" width="17.85546875" style="14" customWidth="1"/>
    <col min="18" max="18" width="17.5703125" style="14" customWidth="1"/>
    <col min="19" max="19" width="16.85546875" style="14" customWidth="1"/>
    <col min="20" max="20" width="17.140625" style="14" customWidth="1"/>
    <col min="21" max="21" width="17.7109375" style="14" customWidth="1"/>
    <col min="22" max="22" width="16.85546875" style="14" customWidth="1"/>
    <col min="23" max="24" width="16.7109375" style="14" customWidth="1"/>
    <col min="25" max="25" width="16.5703125" style="14" customWidth="1"/>
    <col min="26" max="16384" width="12.5703125" style="14"/>
  </cols>
  <sheetData>
    <row r="1" spans="1:26" ht="16.5">
      <c r="L1" s="388" t="s">
        <v>41</v>
      </c>
      <c r="M1" s="388"/>
      <c r="N1" s="199"/>
      <c r="X1" s="388" t="s">
        <v>41</v>
      </c>
      <c r="Y1" s="388"/>
    </row>
    <row r="2" spans="1:26" ht="16.5">
      <c r="A2" s="14" t="s">
        <v>52</v>
      </c>
      <c r="L2" s="388" t="s">
        <v>45</v>
      </c>
      <c r="M2" s="388"/>
      <c r="N2" s="199"/>
      <c r="X2" s="388" t="s">
        <v>44</v>
      </c>
      <c r="Y2" s="388"/>
    </row>
    <row r="3" spans="1:26" ht="16.5">
      <c r="K3" s="73"/>
      <c r="U3" s="73"/>
    </row>
    <row r="4" spans="1:26" ht="22.5">
      <c r="A4" s="187"/>
      <c r="B4" s="375" t="str">
        <f>INPUTS!C12</f>
        <v>MANUFACTURED GAS PLANT REMEDIATION (RAC 25) CARRYING CHARGES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 t="str">
        <f>INPUTS!C12</f>
        <v>MANUFACTURED GAS PLANT REMEDIATION (RAC 25) CARRYING CHARGES</v>
      </c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</row>
    <row r="5" spans="1:26" ht="10.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185"/>
      <c r="N5" s="185"/>
      <c r="O5" s="389"/>
      <c r="P5" s="389"/>
      <c r="Q5" s="389"/>
      <c r="R5" s="389"/>
      <c r="S5" s="389"/>
      <c r="T5" s="389"/>
      <c r="U5" s="389"/>
      <c r="V5" s="389"/>
    </row>
    <row r="8" spans="1:26">
      <c r="A8" s="20" t="s">
        <v>30</v>
      </c>
      <c r="B8" s="245" t="str">
        <f>CONCATENATE(LEFT(INPUTS!P3,3),"-",RIGHT(INPUTS!P4,2))</f>
        <v>Aug-17</v>
      </c>
      <c r="C8" s="245" t="str">
        <f>CONCATENATE(LEFT(INPUTS!Q3,3),"-",RIGHT(INPUTS!Q4,2))</f>
        <v>Sep-17</v>
      </c>
      <c r="D8" s="245" t="str">
        <f>CONCATENATE(LEFT(INPUTS!R3,3),"-",RIGHT(INPUTS!R4,2))</f>
        <v>Oct-17</v>
      </c>
      <c r="E8" s="245" t="str">
        <f>CONCATENATE(LEFT(INPUTS!S3,3),"-",RIGHT(INPUTS!S4,2))</f>
        <v>Nov-17</v>
      </c>
      <c r="F8" s="245" t="str">
        <f>CONCATENATE(LEFT(INPUTS!T3,3),"-",RIGHT(INPUTS!T4,2))</f>
        <v>Dec-17</v>
      </c>
      <c r="G8" s="245" t="str">
        <f>CONCATENATE(LEFT(INPUTS!U3,3),"-",RIGHT(INPUTS!U4,2))</f>
        <v>Jan-17</v>
      </c>
      <c r="H8" s="245" t="str">
        <f>CONCATENATE(LEFT(INPUTS!V3,3),"-",RIGHT(INPUTS!V4,2))</f>
        <v>Feb-17</v>
      </c>
      <c r="I8" s="245" t="str">
        <f>CONCATENATE(LEFT(INPUTS!W3,3),"-",RIGHT(INPUTS!W4,2))</f>
        <v>Mar-17</v>
      </c>
      <c r="J8" s="245" t="str">
        <f>CONCATENATE(LEFT(INPUTS!X3,3),"-",RIGHT(INPUTS!X4,2))</f>
        <v>Apr-17</v>
      </c>
      <c r="K8" s="245" t="str">
        <f>CONCATENATE(LEFT(INPUTS!Y3,3),"-",RIGHT(INPUTS!Y4,2))</f>
        <v>May-17</v>
      </c>
      <c r="L8" s="245" t="str">
        <f>CONCATENATE(LEFT(INPUTS!Z3,3),"-",RIGHT(INPUTS!Z4,2))</f>
        <v>Jun-17</v>
      </c>
      <c r="M8" s="245" t="str">
        <f>CONCATENATE(LEFT(INPUTS!AA3,3),"-",RIGHT(INPUTS!AA4,2))</f>
        <v>Jul-17</v>
      </c>
      <c r="N8" s="244" t="s">
        <v>30</v>
      </c>
      <c r="O8" s="245" t="str">
        <f>CONCATENATE(LEFT(INPUTS!AB3,3),"-",RIGHT(INPUTS!AB4,2))</f>
        <v>Aug-17</v>
      </c>
      <c r="P8" s="245" t="str">
        <f>CONCATENATE(LEFT(INPUTS!AC3,3),"-",RIGHT(INPUTS!AC4,2))</f>
        <v>Sep-17</v>
      </c>
      <c r="Q8" s="245" t="str">
        <f>CONCATENATE(LEFT(INPUTS!AD3,3),"-",RIGHT(INPUTS!AD4,2))</f>
        <v>Oct-17</v>
      </c>
      <c r="R8" s="245" t="str">
        <f>CONCATENATE(LEFT(INPUTS!AE3,3),"-",RIGHT(INPUTS!AE4,2))</f>
        <v>Nov-17</v>
      </c>
      <c r="S8" s="245" t="str">
        <f>CONCATENATE(LEFT(INPUTS!AF3,3),"-",RIGHT(INPUTS!AF4,2))</f>
        <v>Dec-17</v>
      </c>
      <c r="T8" s="245" t="str">
        <f>CONCATENATE(LEFT(INPUTS!AG3,3),"-",RIGHT(INPUTS!AG4,2))</f>
        <v>Jan-18</v>
      </c>
      <c r="U8" s="245" t="str">
        <f>CONCATENATE(LEFT(INPUTS!AH3,3),"-",RIGHT(INPUTS!AH4,2))</f>
        <v>Feb-18</v>
      </c>
      <c r="V8" s="245" t="str">
        <f>CONCATENATE(LEFT(INPUTS!AI3,3),"-",RIGHT(INPUTS!AI4,2))</f>
        <v>Mar-18</v>
      </c>
      <c r="W8" s="245" t="str">
        <f>CONCATENATE(LEFT(INPUTS!AJ3,3),"-",RIGHT(INPUTS!AJ4,2))</f>
        <v>Apr-18</v>
      </c>
      <c r="X8" s="245" t="str">
        <f>CONCATENATE(LEFT(INPUTS!AK3,3),"-",RIGHT(INPUTS!AK4,2))</f>
        <v>May-18</v>
      </c>
      <c r="Y8" s="245" t="str">
        <f>CONCATENATE(LEFT(INPUTS!AL3,3),"-",RIGHT(INPUTS!AL4,2))</f>
        <v>Jun-18</v>
      </c>
      <c r="Z8" s="243"/>
    </row>
    <row r="9" spans="1:26">
      <c r="Y9" s="23"/>
    </row>
    <row r="10" spans="1:26">
      <c r="A10" s="11" t="s">
        <v>0</v>
      </c>
      <c r="B10" s="256">
        <f>'A-4-ELECTRIC (PAGE 2)'!M19+'A-4-ELECTRIC (PAGE 2)'!M33</f>
        <v>-72023599.527795851</v>
      </c>
      <c r="C10" s="264">
        <f>B19</f>
        <v>-72023599.527795851</v>
      </c>
      <c r="D10" s="251">
        <f>C19</f>
        <v>-72023599.527795851</v>
      </c>
      <c r="E10" s="251">
        <f t="shared" ref="E10:L10" si="0">D19</f>
        <v>-72023599.527795851</v>
      </c>
      <c r="F10" s="251">
        <f t="shared" si="0"/>
        <v>-72023599.527795851</v>
      </c>
      <c r="G10" s="251">
        <f t="shared" si="0"/>
        <v>-72023599.527795851</v>
      </c>
      <c r="H10" s="251">
        <f t="shared" si="0"/>
        <v>-72023599.527795851</v>
      </c>
      <c r="I10" s="251">
        <f t="shared" si="0"/>
        <v>-72023599.527795851</v>
      </c>
      <c r="J10" s="251">
        <f t="shared" si="0"/>
        <v>-72023599.527795851</v>
      </c>
      <c r="K10" s="251">
        <f t="shared" si="0"/>
        <v>-72023599.527795851</v>
      </c>
      <c r="L10" s="251">
        <f t="shared" si="0"/>
        <v>-72023599.527795851</v>
      </c>
      <c r="M10" s="251">
        <f>L19</f>
        <v>-72023599.527795851</v>
      </c>
      <c r="N10" s="58" t="s">
        <v>0</v>
      </c>
      <c r="O10" s="251">
        <f>M10+M33</f>
        <v>-73161071.836318314</v>
      </c>
      <c r="P10" s="251">
        <f t="shared" ref="P10:Y10" si="1">O19</f>
        <v>-73161071.836318314</v>
      </c>
      <c r="Q10" s="251">
        <f t="shared" si="1"/>
        <v>-73161071.836318314</v>
      </c>
      <c r="R10" s="251">
        <f t="shared" si="1"/>
        <v>-73161071.836318314</v>
      </c>
      <c r="S10" s="251">
        <f t="shared" si="1"/>
        <v>-73161071.836318314</v>
      </c>
      <c r="T10" s="251">
        <f t="shared" si="1"/>
        <v>-73161071.836318314</v>
      </c>
      <c r="U10" s="251">
        <f t="shared" si="1"/>
        <v>-73161071.836318314</v>
      </c>
      <c r="V10" s="251">
        <f t="shared" si="1"/>
        <v>-73161071.836318314</v>
      </c>
      <c r="W10" s="251">
        <f t="shared" si="1"/>
        <v>-73161071.836318314</v>
      </c>
      <c r="X10" s="251">
        <f t="shared" si="1"/>
        <v>-73161071.836318314</v>
      </c>
      <c r="Y10" s="251">
        <f t="shared" si="1"/>
        <v>-73161071.836318314</v>
      </c>
      <c r="Z10" s="63"/>
    </row>
    <row r="11" spans="1:26">
      <c r="A11" s="11"/>
      <c r="B11" s="257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5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>
      <c r="A12" s="11" t="s">
        <v>20</v>
      </c>
      <c r="B12" s="63"/>
      <c r="C12" s="262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58" t="s">
        <v>20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63"/>
    </row>
    <row r="13" spans="1:26">
      <c r="A13" s="11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5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>
      <c r="A14" s="11" t="s">
        <v>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58" t="s">
        <v>4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63"/>
    </row>
    <row r="15" spans="1:26">
      <c r="A15" s="11" t="s">
        <v>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8" t="s">
        <v>1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>
      <c r="A16" s="11" t="s">
        <v>2</v>
      </c>
      <c r="B16" s="251">
        <f>B12+B14</f>
        <v>0</v>
      </c>
      <c r="C16" s="251">
        <f t="shared" ref="C16:L16" si="2">+C12+C14</f>
        <v>0</v>
      </c>
      <c r="D16" s="251">
        <f t="shared" si="2"/>
        <v>0</v>
      </c>
      <c r="E16" s="251">
        <f t="shared" si="2"/>
        <v>0</v>
      </c>
      <c r="F16" s="251">
        <f t="shared" si="2"/>
        <v>0</v>
      </c>
      <c r="G16" s="251">
        <f t="shared" si="2"/>
        <v>0</v>
      </c>
      <c r="H16" s="251">
        <f t="shared" si="2"/>
        <v>0</v>
      </c>
      <c r="I16" s="251">
        <f t="shared" si="2"/>
        <v>0</v>
      </c>
      <c r="J16" s="251">
        <f t="shared" si="2"/>
        <v>0</v>
      </c>
      <c r="K16" s="251">
        <f t="shared" si="2"/>
        <v>0</v>
      </c>
      <c r="L16" s="251">
        <f t="shared" si="2"/>
        <v>0</v>
      </c>
      <c r="M16" s="251">
        <f>+M12+M14</f>
        <v>0</v>
      </c>
      <c r="N16" s="58" t="s">
        <v>2</v>
      </c>
      <c r="O16" s="251">
        <f t="shared" ref="O16:X16" si="3">+O12+O14</f>
        <v>0</v>
      </c>
      <c r="P16" s="251">
        <f t="shared" si="3"/>
        <v>0</v>
      </c>
      <c r="Q16" s="251">
        <f t="shared" si="3"/>
        <v>0</v>
      </c>
      <c r="R16" s="251">
        <f t="shared" si="3"/>
        <v>0</v>
      </c>
      <c r="S16" s="251">
        <f t="shared" si="3"/>
        <v>0</v>
      </c>
      <c r="T16" s="251">
        <f t="shared" si="3"/>
        <v>0</v>
      </c>
      <c r="U16" s="251">
        <f t="shared" si="3"/>
        <v>0</v>
      </c>
      <c r="V16" s="251">
        <f t="shared" si="3"/>
        <v>0</v>
      </c>
      <c r="W16" s="251">
        <f t="shared" si="3"/>
        <v>0</v>
      </c>
      <c r="X16" s="251">
        <f t="shared" si="3"/>
        <v>0</v>
      </c>
      <c r="Y16" s="251">
        <f>+Y12+Y14</f>
        <v>0</v>
      </c>
      <c r="Z16" s="63"/>
    </row>
    <row r="17" spans="1:26">
      <c r="A17" s="1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>
      <c r="A19" s="11" t="s">
        <v>21</v>
      </c>
      <c r="B19" s="137">
        <f>B10+B16</f>
        <v>-72023599.527795851</v>
      </c>
      <c r="C19" s="137">
        <f t="shared" ref="C19:L19" si="4">+C10+C16</f>
        <v>-72023599.527795851</v>
      </c>
      <c r="D19" s="137">
        <f t="shared" si="4"/>
        <v>-72023599.527795851</v>
      </c>
      <c r="E19" s="137">
        <f t="shared" si="4"/>
        <v>-72023599.527795851</v>
      </c>
      <c r="F19" s="137">
        <f t="shared" si="4"/>
        <v>-72023599.527795851</v>
      </c>
      <c r="G19" s="137">
        <f t="shared" si="4"/>
        <v>-72023599.527795851</v>
      </c>
      <c r="H19" s="137">
        <f t="shared" si="4"/>
        <v>-72023599.527795851</v>
      </c>
      <c r="I19" s="137">
        <f t="shared" si="4"/>
        <v>-72023599.527795851</v>
      </c>
      <c r="J19" s="137">
        <f t="shared" si="4"/>
        <v>-72023599.527795851</v>
      </c>
      <c r="K19" s="137">
        <f t="shared" si="4"/>
        <v>-72023599.527795851</v>
      </c>
      <c r="L19" s="137">
        <f t="shared" si="4"/>
        <v>-72023599.527795851</v>
      </c>
      <c r="M19" s="137">
        <f>+M10+M16</f>
        <v>-72023599.527795851</v>
      </c>
      <c r="N19" s="58" t="s">
        <v>21</v>
      </c>
      <c r="O19" s="137">
        <f t="shared" ref="O19:X19" si="5">+O10+O16</f>
        <v>-73161071.836318314</v>
      </c>
      <c r="P19" s="137">
        <f t="shared" si="5"/>
        <v>-73161071.836318314</v>
      </c>
      <c r="Q19" s="137">
        <f t="shared" si="5"/>
        <v>-73161071.836318314</v>
      </c>
      <c r="R19" s="137">
        <f t="shared" si="5"/>
        <v>-73161071.836318314</v>
      </c>
      <c r="S19" s="137">
        <f t="shared" si="5"/>
        <v>-73161071.836318314</v>
      </c>
      <c r="T19" s="137">
        <f t="shared" si="5"/>
        <v>-73161071.836318314</v>
      </c>
      <c r="U19" s="137">
        <f t="shared" si="5"/>
        <v>-73161071.836318314</v>
      </c>
      <c r="V19" s="137">
        <f t="shared" si="5"/>
        <v>-73161071.836318314</v>
      </c>
      <c r="W19" s="137">
        <f t="shared" si="5"/>
        <v>-73161071.836318314</v>
      </c>
      <c r="X19" s="137">
        <f t="shared" si="5"/>
        <v>-73161071.836318314</v>
      </c>
      <c r="Y19" s="137">
        <f>+Y10+Y16</f>
        <v>-73161071.836318314</v>
      </c>
      <c r="Z19" s="63"/>
    </row>
    <row r="20" spans="1:26" ht="12.75" customHeight="1">
      <c r="A20" s="11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5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>
      <c r="A22" s="11" t="s">
        <v>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58" t="s">
        <v>3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>
      <c r="A23" s="40" t="s">
        <v>22</v>
      </c>
      <c r="B23" s="252">
        <f>B10</f>
        <v>-72023599.527795851</v>
      </c>
      <c r="C23" s="252">
        <f>C10</f>
        <v>-72023599.527795851</v>
      </c>
      <c r="D23" s="252">
        <f t="shared" ref="D23:L23" si="6">+D10</f>
        <v>-72023599.527795851</v>
      </c>
      <c r="E23" s="252">
        <f t="shared" si="6"/>
        <v>-72023599.527795851</v>
      </c>
      <c r="F23" s="252">
        <f t="shared" si="6"/>
        <v>-72023599.527795851</v>
      </c>
      <c r="G23" s="252">
        <f t="shared" si="6"/>
        <v>-72023599.527795851</v>
      </c>
      <c r="H23" s="252">
        <f t="shared" si="6"/>
        <v>-72023599.527795851</v>
      </c>
      <c r="I23" s="252">
        <f t="shared" si="6"/>
        <v>-72023599.527795851</v>
      </c>
      <c r="J23" s="252">
        <f t="shared" si="6"/>
        <v>-72023599.527795851</v>
      </c>
      <c r="K23" s="252">
        <f t="shared" si="6"/>
        <v>-72023599.527795851</v>
      </c>
      <c r="L23" s="252">
        <f t="shared" si="6"/>
        <v>-72023599.527795851</v>
      </c>
      <c r="M23" s="252">
        <f>+M10</f>
        <v>-72023599.527795851</v>
      </c>
      <c r="N23" s="146" t="s">
        <v>22</v>
      </c>
      <c r="O23" s="252">
        <f t="shared" ref="O23:X23" si="7">+O10</f>
        <v>-73161071.836318314</v>
      </c>
      <c r="P23" s="252">
        <f t="shared" si="7"/>
        <v>-73161071.836318314</v>
      </c>
      <c r="Q23" s="252">
        <f t="shared" si="7"/>
        <v>-73161071.836318314</v>
      </c>
      <c r="R23" s="252">
        <f t="shared" si="7"/>
        <v>-73161071.836318314</v>
      </c>
      <c r="S23" s="252">
        <f t="shared" si="7"/>
        <v>-73161071.836318314</v>
      </c>
      <c r="T23" s="252">
        <f t="shared" si="7"/>
        <v>-73161071.836318314</v>
      </c>
      <c r="U23" s="252">
        <f t="shared" si="7"/>
        <v>-73161071.836318314</v>
      </c>
      <c r="V23" s="252">
        <f t="shared" si="7"/>
        <v>-73161071.836318314</v>
      </c>
      <c r="W23" s="252">
        <f t="shared" si="7"/>
        <v>-73161071.836318314</v>
      </c>
      <c r="X23" s="252">
        <f t="shared" si="7"/>
        <v>-73161071.836318314</v>
      </c>
      <c r="Y23" s="252">
        <f>+Y10</f>
        <v>-73161071.836318314</v>
      </c>
      <c r="Z23" s="63"/>
    </row>
    <row r="24" spans="1:26">
      <c r="A24" s="40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146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63"/>
    </row>
    <row r="25" spans="1:26">
      <c r="A25" s="40" t="s">
        <v>23</v>
      </c>
      <c r="B25" s="252">
        <f>B19</f>
        <v>-72023599.527795851</v>
      </c>
      <c r="C25" s="252">
        <f>C19</f>
        <v>-72023599.527795851</v>
      </c>
      <c r="D25" s="252">
        <f t="shared" ref="D25:L25" si="8">+D19</f>
        <v>-72023599.527795851</v>
      </c>
      <c r="E25" s="252">
        <f t="shared" si="8"/>
        <v>-72023599.527795851</v>
      </c>
      <c r="F25" s="252">
        <f t="shared" si="8"/>
        <v>-72023599.527795851</v>
      </c>
      <c r="G25" s="252">
        <f t="shared" si="8"/>
        <v>-72023599.527795851</v>
      </c>
      <c r="H25" s="252">
        <f t="shared" si="8"/>
        <v>-72023599.527795851</v>
      </c>
      <c r="I25" s="252">
        <f t="shared" si="8"/>
        <v>-72023599.527795851</v>
      </c>
      <c r="J25" s="252">
        <f t="shared" si="8"/>
        <v>-72023599.527795851</v>
      </c>
      <c r="K25" s="252">
        <f t="shared" si="8"/>
        <v>-72023599.527795851</v>
      </c>
      <c r="L25" s="252">
        <f t="shared" si="8"/>
        <v>-72023599.527795851</v>
      </c>
      <c r="M25" s="252">
        <f>+M19</f>
        <v>-72023599.527795851</v>
      </c>
      <c r="N25" s="146" t="s">
        <v>23</v>
      </c>
      <c r="O25" s="252">
        <f t="shared" ref="O25:X25" si="9">+O19</f>
        <v>-73161071.836318314</v>
      </c>
      <c r="P25" s="252">
        <f t="shared" si="9"/>
        <v>-73161071.836318314</v>
      </c>
      <c r="Q25" s="252">
        <f t="shared" si="9"/>
        <v>-73161071.836318314</v>
      </c>
      <c r="R25" s="252">
        <f t="shared" si="9"/>
        <v>-73161071.836318314</v>
      </c>
      <c r="S25" s="252">
        <f t="shared" si="9"/>
        <v>-73161071.836318314</v>
      </c>
      <c r="T25" s="252">
        <f t="shared" si="9"/>
        <v>-73161071.836318314</v>
      </c>
      <c r="U25" s="252">
        <f t="shared" si="9"/>
        <v>-73161071.836318314</v>
      </c>
      <c r="V25" s="252">
        <f t="shared" si="9"/>
        <v>-73161071.836318314</v>
      </c>
      <c r="W25" s="252">
        <f t="shared" si="9"/>
        <v>-73161071.836318314</v>
      </c>
      <c r="X25" s="252">
        <f t="shared" si="9"/>
        <v>-73161071.836318314</v>
      </c>
      <c r="Y25" s="252">
        <f>+Y19</f>
        <v>-73161071.836318314</v>
      </c>
      <c r="Z25" s="63"/>
    </row>
    <row r="26" spans="1:26">
      <c r="A26" s="40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146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63"/>
    </row>
    <row r="27" spans="1:26">
      <c r="A27" s="40" t="s">
        <v>24</v>
      </c>
      <c r="B27" s="252">
        <f t="shared" ref="B27:L27" si="10">+(B23+B25)/2</f>
        <v>-72023599.527795851</v>
      </c>
      <c r="C27" s="252">
        <f t="shared" si="10"/>
        <v>-72023599.527795851</v>
      </c>
      <c r="D27" s="252">
        <f t="shared" si="10"/>
        <v>-72023599.527795851</v>
      </c>
      <c r="E27" s="252">
        <f t="shared" si="10"/>
        <v>-72023599.527795851</v>
      </c>
      <c r="F27" s="252">
        <f t="shared" si="10"/>
        <v>-72023599.527795851</v>
      </c>
      <c r="G27" s="252">
        <f t="shared" si="10"/>
        <v>-72023599.527795851</v>
      </c>
      <c r="H27" s="252">
        <f t="shared" si="10"/>
        <v>-72023599.527795851</v>
      </c>
      <c r="I27" s="252">
        <f t="shared" si="10"/>
        <v>-72023599.527795851</v>
      </c>
      <c r="J27" s="252">
        <f t="shared" si="10"/>
        <v>-72023599.527795851</v>
      </c>
      <c r="K27" s="252">
        <f t="shared" si="10"/>
        <v>-72023599.527795851</v>
      </c>
      <c r="L27" s="252">
        <f t="shared" si="10"/>
        <v>-72023599.527795851</v>
      </c>
      <c r="M27" s="252">
        <f>+(M23+M25)/2</f>
        <v>-72023599.527795851</v>
      </c>
      <c r="N27" s="146" t="s">
        <v>24</v>
      </c>
      <c r="O27" s="252">
        <f t="shared" ref="O27:X27" si="11">+(O23+O25)/2</f>
        <v>-73161071.836318314</v>
      </c>
      <c r="P27" s="252">
        <f t="shared" si="11"/>
        <v>-73161071.836318314</v>
      </c>
      <c r="Q27" s="252">
        <f t="shared" si="11"/>
        <v>-73161071.836318314</v>
      </c>
      <c r="R27" s="252">
        <f t="shared" si="11"/>
        <v>-73161071.836318314</v>
      </c>
      <c r="S27" s="252">
        <f t="shared" si="11"/>
        <v>-73161071.836318314</v>
      </c>
      <c r="T27" s="252">
        <f t="shared" si="11"/>
        <v>-73161071.836318314</v>
      </c>
      <c r="U27" s="252">
        <f t="shared" si="11"/>
        <v>-73161071.836318314</v>
      </c>
      <c r="V27" s="252">
        <f t="shared" si="11"/>
        <v>-73161071.836318314</v>
      </c>
      <c r="W27" s="252">
        <f t="shared" si="11"/>
        <v>-73161071.836318314</v>
      </c>
      <c r="X27" s="252">
        <f t="shared" si="11"/>
        <v>-73161071.836318314</v>
      </c>
      <c r="Y27" s="252">
        <f>+(Y23+Y25)/2</f>
        <v>-73161071.836318314</v>
      </c>
      <c r="Z27" s="63"/>
    </row>
    <row r="28" spans="1:26">
      <c r="A28" s="40"/>
      <c r="B28" s="252"/>
      <c r="C28" s="252"/>
      <c r="D28" s="252"/>
      <c r="E28" s="252"/>
      <c r="F28" s="252"/>
      <c r="G28" s="252"/>
      <c r="H28" s="252"/>
      <c r="I28" s="63"/>
      <c r="J28" s="63"/>
      <c r="K28" s="63"/>
      <c r="L28" s="63"/>
      <c r="M28" s="63"/>
      <c r="N28" s="146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>
      <c r="A29" s="40" t="s">
        <v>28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146" t="s">
        <v>28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>
      <c r="A30" s="15" t="s">
        <v>27</v>
      </c>
      <c r="B30" s="253">
        <f>(B27*(1-INPUTS!P9))*(B31/12)</f>
        <v>-94789.359043538017</v>
      </c>
      <c r="C30" s="253">
        <f>(C27*(1-INPUTS!Q9))*(C31/12)</f>
        <v>-94789.359043538017</v>
      </c>
      <c r="D30" s="253">
        <f>(D27*(1-INPUTS!R9))*(D31/12)</f>
        <v>-94789.359043538017</v>
      </c>
      <c r="E30" s="253">
        <f>(E27*(1-INPUTS!S9))*(E31/12)</f>
        <v>-94789.359043538017</v>
      </c>
      <c r="F30" s="253">
        <f>(F27*(1-INPUTS!T9))*(F31/12)</f>
        <v>-94789.359043538017</v>
      </c>
      <c r="G30" s="253">
        <f>(G27*(1-INPUTS!U9))*(G31/12)</f>
        <v>-94789.359043538017</v>
      </c>
      <c r="H30" s="253">
        <f>(H27*(1-INPUTS!V9))*(H31/12)</f>
        <v>-94789.359043538017</v>
      </c>
      <c r="I30" s="253">
        <f>(I27*(1-INPUTS!W9))*(I31/12)</f>
        <v>-94789.359043538017</v>
      </c>
      <c r="J30" s="253">
        <f>(J27*(1-INPUTS!X9))*(J31/12)</f>
        <v>-94789.359043538017</v>
      </c>
      <c r="K30" s="253">
        <f>(K27*(1-INPUTS!Y9))*(K31/12)</f>
        <v>-94789.359043538017</v>
      </c>
      <c r="L30" s="253">
        <f>(L27*(1-INPUTS!Z9))*(L31/12)</f>
        <v>-94789.359043538017</v>
      </c>
      <c r="M30" s="253">
        <f>(M27*(1-INPUTS!AA9))*(M31/12)</f>
        <v>-94789.359043538017</v>
      </c>
      <c r="N30" s="258" t="s">
        <v>27</v>
      </c>
      <c r="O30" s="253">
        <f>(O27*(1-INPUTS!AB9))*(O31/12)</f>
        <v>-96286.37213038058</v>
      </c>
      <c r="P30" s="253">
        <f>(P27*(1-INPUTS!AC9))*(P31/12)</f>
        <v>-96286.37213038058</v>
      </c>
      <c r="Q30" s="253">
        <f>(Q27*(1-INPUTS!AD9))*(Q31/12)</f>
        <v>-96286.37213038058</v>
      </c>
      <c r="R30" s="253">
        <f>(R27*(1-INPUTS!AE9))*(R31/12)</f>
        <v>-96286.37213038058</v>
      </c>
      <c r="S30" s="253">
        <f>(S27*(1-INPUTS!AF9))*(S31/12)</f>
        <v>-96286.37213038058</v>
      </c>
      <c r="T30" s="253">
        <f>(T27*(1-INPUTS!AG9))*(T31/12)</f>
        <v>-96286.37213038058</v>
      </c>
      <c r="U30" s="253">
        <f>(U27*(1-INPUTS!AH9))*(U31/12)</f>
        <v>-96286.37213038058</v>
      </c>
      <c r="V30" s="253">
        <f>(V27*(1-INPUTS!AI9))*(V31/12)</f>
        <v>-96286.37213038058</v>
      </c>
      <c r="W30" s="253">
        <f>(W27*(1-INPUTS!AJ9))*(W31/12)</f>
        <v>-96286.37213038058</v>
      </c>
      <c r="X30" s="253">
        <f>(X27*(1-INPUTS!AK9))*(X31/12)</f>
        <v>-96286.37213038058</v>
      </c>
      <c r="Y30" s="253">
        <f>(Y27*(1-INPUTS!AL9))*(Y31/12)</f>
        <v>-96286.37213038058</v>
      </c>
      <c r="Z30" s="257">
        <f>SUM(B30:Y30)</f>
        <v>-2196622.4019566416</v>
      </c>
    </row>
    <row r="31" spans="1:26" ht="38.25">
      <c r="A31" s="15" t="s">
        <v>25</v>
      </c>
      <c r="B31" s="246">
        <f>INPUTS!P8</f>
        <v>2.6699999999999998E-2</v>
      </c>
      <c r="C31" s="246">
        <f>INPUTS!Q8</f>
        <v>2.6699999999999998E-2</v>
      </c>
      <c r="D31" s="246">
        <f>INPUTS!R8</f>
        <v>2.6699999999999998E-2</v>
      </c>
      <c r="E31" s="246">
        <f>INPUTS!S8</f>
        <v>2.6699999999999998E-2</v>
      </c>
      <c r="F31" s="246">
        <f>INPUTS!T8</f>
        <v>2.6699999999999998E-2</v>
      </c>
      <c r="G31" s="246">
        <f>INPUTS!U8</f>
        <v>2.6699999999999998E-2</v>
      </c>
      <c r="H31" s="246">
        <f>INPUTS!V8</f>
        <v>2.6699999999999998E-2</v>
      </c>
      <c r="I31" s="246">
        <f>INPUTS!W8</f>
        <v>2.6699999999999998E-2</v>
      </c>
      <c r="J31" s="246">
        <f>INPUTS!X8</f>
        <v>2.6699999999999998E-2</v>
      </c>
      <c r="K31" s="246">
        <f>INPUTS!Y8</f>
        <v>2.6699999999999998E-2</v>
      </c>
      <c r="L31" s="246">
        <f>INPUTS!Z8</f>
        <v>2.6699999999999998E-2</v>
      </c>
      <c r="M31" s="246">
        <f>INPUTS!AA8</f>
        <v>2.6699999999999998E-2</v>
      </c>
      <c r="N31" s="263" t="s">
        <v>25</v>
      </c>
      <c r="O31" s="246">
        <f>INPUTS!AB8</f>
        <v>2.6699999999999998E-2</v>
      </c>
      <c r="P31" s="246">
        <f>INPUTS!AC8</f>
        <v>2.6699999999999998E-2</v>
      </c>
      <c r="Q31" s="246">
        <f>INPUTS!AD8</f>
        <v>2.6699999999999998E-2</v>
      </c>
      <c r="R31" s="246">
        <f>INPUTS!AE8</f>
        <v>2.6699999999999998E-2</v>
      </c>
      <c r="S31" s="246">
        <f>INPUTS!AF8</f>
        <v>2.6699999999999998E-2</v>
      </c>
      <c r="T31" s="246">
        <f>INPUTS!AG8</f>
        <v>2.6699999999999998E-2</v>
      </c>
      <c r="U31" s="246">
        <f>INPUTS!AH8</f>
        <v>2.6699999999999998E-2</v>
      </c>
      <c r="V31" s="246">
        <f>INPUTS!AI8</f>
        <v>2.6699999999999998E-2</v>
      </c>
      <c r="W31" s="246">
        <f>INPUTS!AJ8</f>
        <v>2.6699999999999998E-2</v>
      </c>
      <c r="X31" s="246">
        <f>INPUTS!AK8</f>
        <v>2.6699999999999998E-2</v>
      </c>
      <c r="Y31" s="246">
        <f>INPUTS!AL8</f>
        <v>2.6699999999999998E-2</v>
      </c>
      <c r="Z31" s="259" t="s">
        <v>124</v>
      </c>
    </row>
    <row r="32" spans="1:26">
      <c r="A32" s="4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146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63"/>
    </row>
    <row r="33" spans="1:26">
      <c r="A33" s="15" t="s">
        <v>26</v>
      </c>
      <c r="B33" s="137">
        <f>B30</f>
        <v>-94789.359043538017</v>
      </c>
      <c r="C33" s="137">
        <f>+C30+B33</f>
        <v>-189578.71808707603</v>
      </c>
      <c r="D33" s="137">
        <f t="shared" ref="D33:M33" si="12">+D30+C33</f>
        <v>-284368.07713061408</v>
      </c>
      <c r="E33" s="137">
        <f t="shared" si="12"/>
        <v>-379157.43617415207</v>
      </c>
      <c r="F33" s="137">
        <f t="shared" si="12"/>
        <v>-473946.79521769006</v>
      </c>
      <c r="G33" s="137">
        <f t="shared" si="12"/>
        <v>-568736.15426122805</v>
      </c>
      <c r="H33" s="137">
        <f t="shared" si="12"/>
        <v>-663525.51330476603</v>
      </c>
      <c r="I33" s="137">
        <f t="shared" si="12"/>
        <v>-758314.87234830402</v>
      </c>
      <c r="J33" s="137">
        <f t="shared" si="12"/>
        <v>-853104.23139184201</v>
      </c>
      <c r="K33" s="137">
        <f t="shared" si="12"/>
        <v>-947893.59043538</v>
      </c>
      <c r="L33" s="137">
        <f t="shared" si="12"/>
        <v>-1042682.949478918</v>
      </c>
      <c r="M33" s="137">
        <f t="shared" si="12"/>
        <v>-1137472.3085224561</v>
      </c>
      <c r="N33" s="258" t="s">
        <v>26</v>
      </c>
      <c r="O33" s="137">
        <f>O30</f>
        <v>-96286.37213038058</v>
      </c>
      <c r="P33" s="137">
        <f t="shared" ref="P33:Y33" si="13">+P30+O33</f>
        <v>-192572.74426076116</v>
      </c>
      <c r="Q33" s="137">
        <f t="shared" si="13"/>
        <v>-288859.11639114172</v>
      </c>
      <c r="R33" s="137">
        <f t="shared" si="13"/>
        <v>-385145.48852152232</v>
      </c>
      <c r="S33" s="137">
        <f t="shared" si="13"/>
        <v>-481431.86065190291</v>
      </c>
      <c r="T33" s="137">
        <f t="shared" si="13"/>
        <v>-577718.23278228345</v>
      </c>
      <c r="U33" s="137">
        <f t="shared" si="13"/>
        <v>-674004.60491266404</v>
      </c>
      <c r="V33" s="137">
        <f t="shared" si="13"/>
        <v>-770290.97704304464</v>
      </c>
      <c r="W33" s="137">
        <f t="shared" si="13"/>
        <v>-866577.34917342523</v>
      </c>
      <c r="X33" s="137">
        <f t="shared" si="13"/>
        <v>-962863.72130380583</v>
      </c>
      <c r="Y33" s="137">
        <f t="shared" si="13"/>
        <v>-1059150.0934341864</v>
      </c>
      <c r="Z33" s="63"/>
    </row>
    <row r="34" spans="1:26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>
      <c r="A35" s="1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.5" customHeight="1">
      <c r="A36" s="15"/>
      <c r="B36" s="258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>
      <c r="B39" s="2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2:26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2:26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2:26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2:26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2:26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2:26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2:26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2:26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2:26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2:26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2:26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2:26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2:26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2:26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2:26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2:26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2:26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2:26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2:26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2:26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2:26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</sheetData>
  <mergeCells count="8">
    <mergeCell ref="X1:Y1"/>
    <mergeCell ref="X2:Y2"/>
    <mergeCell ref="A5:L5"/>
    <mergeCell ref="O5:V5"/>
    <mergeCell ref="L1:M1"/>
    <mergeCell ref="L2:M2"/>
    <mergeCell ref="B4:M4"/>
    <mergeCell ref="N4:Y4"/>
  </mergeCells>
  <phoneticPr fontId="3" type="noConversion"/>
  <printOptions horizontalCentered="1"/>
  <pageMargins left="0.25" right="0.25" top="1.25" bottom="1" header="0" footer="0"/>
  <pageSetup scale="54" orientation="landscape" r:id="rId1"/>
  <headerFooter alignWithMargins="0">
    <oddHeader xml:space="preserve">&amp;C&amp;"Arial,Bold"&amp;13
&amp;R
</oddHeader>
  </headerFooter>
  <colBreaks count="1" manualBreakCount="1">
    <brk id="13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124"/>
  <sheetViews>
    <sheetView zoomScaleNormal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E62" sqref="E62"/>
    </sheetView>
  </sheetViews>
  <sheetFormatPr defaultRowHeight="15" customHeight="1"/>
  <cols>
    <col min="1" max="1" width="9.140625" style="208"/>
    <col min="2" max="2" width="36.5703125" style="208" customWidth="1"/>
    <col min="3" max="3" width="15.28515625" style="208" customWidth="1"/>
    <col min="4" max="4" width="21.42578125" style="208" customWidth="1"/>
    <col min="5" max="15" width="16.140625" style="208" customWidth="1"/>
    <col min="16" max="16" width="16.42578125" style="208" customWidth="1"/>
    <col min="17" max="17" width="13.42578125" style="208" customWidth="1"/>
    <col min="18" max="16384" width="9.140625" style="208"/>
  </cols>
  <sheetData>
    <row r="1" spans="1:43" ht="15" customHeight="1">
      <c r="A1" s="341" t="s">
        <v>181</v>
      </c>
      <c r="B1" s="342"/>
      <c r="C1" s="342"/>
      <c r="AM1" s="217"/>
    </row>
    <row r="2" spans="1:43" ht="15" customHeight="1">
      <c r="AM2" s="217"/>
    </row>
    <row r="3" spans="1:43" ht="15" customHeight="1">
      <c r="B3" s="209" t="s">
        <v>130</v>
      </c>
      <c r="C3" s="209"/>
      <c r="D3" s="343" t="s">
        <v>140</v>
      </c>
      <c r="E3" s="343" t="s">
        <v>141</v>
      </c>
      <c r="F3" s="343" t="s">
        <v>131</v>
      </c>
      <c r="G3" s="343" t="s">
        <v>132</v>
      </c>
      <c r="H3" s="343" t="s">
        <v>133</v>
      </c>
      <c r="I3" s="343" t="s">
        <v>134</v>
      </c>
      <c r="J3" s="343" t="s">
        <v>135</v>
      </c>
      <c r="K3" s="343" t="s">
        <v>136</v>
      </c>
      <c r="L3" s="343" t="s">
        <v>147</v>
      </c>
      <c r="M3" s="343" t="s">
        <v>137</v>
      </c>
      <c r="N3" s="343" t="s">
        <v>138</v>
      </c>
      <c r="O3" s="343" t="s">
        <v>139</v>
      </c>
      <c r="P3" s="330" t="s">
        <v>140</v>
      </c>
      <c r="Q3" s="330" t="s">
        <v>141</v>
      </c>
      <c r="R3" s="330" t="s">
        <v>131</v>
      </c>
      <c r="S3" s="330" t="s">
        <v>132</v>
      </c>
      <c r="T3" s="330" t="s">
        <v>133</v>
      </c>
      <c r="U3" s="330" t="s">
        <v>134</v>
      </c>
      <c r="V3" s="330" t="s">
        <v>135</v>
      </c>
      <c r="W3" s="330" t="s">
        <v>136</v>
      </c>
      <c r="X3" s="330" t="s">
        <v>147</v>
      </c>
      <c r="Y3" s="330" t="s">
        <v>137</v>
      </c>
      <c r="Z3" s="330" t="s">
        <v>138</v>
      </c>
      <c r="AA3" s="330" t="s">
        <v>139</v>
      </c>
      <c r="AB3" s="330" t="s">
        <v>140</v>
      </c>
      <c r="AC3" s="330" t="s">
        <v>141</v>
      </c>
      <c r="AD3" s="330" t="s">
        <v>131</v>
      </c>
      <c r="AE3" s="330" t="s">
        <v>132</v>
      </c>
      <c r="AF3" s="330" t="s">
        <v>133</v>
      </c>
      <c r="AG3" s="330" t="s">
        <v>134</v>
      </c>
      <c r="AH3" s="330" t="s">
        <v>135</v>
      </c>
      <c r="AI3" s="330" t="s">
        <v>136</v>
      </c>
      <c r="AJ3" s="330" t="s">
        <v>147</v>
      </c>
      <c r="AK3" s="330" t="s">
        <v>137</v>
      </c>
      <c r="AL3" s="330" t="s">
        <v>138</v>
      </c>
      <c r="AM3" s="210"/>
      <c r="AN3" s="210"/>
      <c r="AO3" s="210"/>
      <c r="AP3" s="210"/>
      <c r="AQ3" s="210"/>
    </row>
    <row r="4" spans="1:43" ht="15" customHeight="1">
      <c r="B4" s="209" t="s">
        <v>142</v>
      </c>
      <c r="C4" s="209"/>
      <c r="D4" s="343">
        <v>2016</v>
      </c>
      <c r="E4" s="343">
        <f>D4</f>
        <v>2016</v>
      </c>
      <c r="F4" s="343">
        <f>E4</f>
        <v>2016</v>
      </c>
      <c r="G4" s="343">
        <f>F4</f>
        <v>2016</v>
      </c>
      <c r="H4" s="343">
        <f>G4</f>
        <v>2016</v>
      </c>
      <c r="I4" s="343">
        <v>2017</v>
      </c>
      <c r="J4" s="343">
        <f t="shared" ref="H4:J5" si="0">I4</f>
        <v>2017</v>
      </c>
      <c r="K4" s="343">
        <f t="shared" ref="K4:O5" si="1">J4</f>
        <v>2017</v>
      </c>
      <c r="L4" s="343">
        <f t="shared" si="1"/>
        <v>2017</v>
      </c>
      <c r="M4" s="343">
        <f t="shared" si="1"/>
        <v>2017</v>
      </c>
      <c r="N4" s="343">
        <f t="shared" si="1"/>
        <v>2017</v>
      </c>
      <c r="O4" s="343">
        <f t="shared" si="1"/>
        <v>2017</v>
      </c>
      <c r="P4" s="330">
        <f t="shared" ref="P4:AL4" si="2">O4</f>
        <v>2017</v>
      </c>
      <c r="Q4" s="330">
        <f t="shared" si="2"/>
        <v>2017</v>
      </c>
      <c r="R4" s="330">
        <f t="shared" si="2"/>
        <v>2017</v>
      </c>
      <c r="S4" s="330">
        <f t="shared" si="2"/>
        <v>2017</v>
      </c>
      <c r="T4" s="330">
        <f t="shared" si="2"/>
        <v>2017</v>
      </c>
      <c r="U4" s="330">
        <v>2017</v>
      </c>
      <c r="V4" s="330">
        <f t="shared" si="2"/>
        <v>2017</v>
      </c>
      <c r="W4" s="330">
        <f t="shared" si="2"/>
        <v>2017</v>
      </c>
      <c r="X4" s="330">
        <f t="shared" si="2"/>
        <v>2017</v>
      </c>
      <c r="Y4" s="330">
        <f t="shared" si="2"/>
        <v>2017</v>
      </c>
      <c r="Z4" s="330">
        <f t="shared" si="2"/>
        <v>2017</v>
      </c>
      <c r="AA4" s="330">
        <f t="shared" si="2"/>
        <v>2017</v>
      </c>
      <c r="AB4" s="330">
        <f t="shared" si="2"/>
        <v>2017</v>
      </c>
      <c r="AC4" s="330">
        <f t="shared" si="2"/>
        <v>2017</v>
      </c>
      <c r="AD4" s="330">
        <f t="shared" si="2"/>
        <v>2017</v>
      </c>
      <c r="AE4" s="330">
        <f t="shared" si="2"/>
        <v>2017</v>
      </c>
      <c r="AF4" s="330">
        <f t="shared" si="2"/>
        <v>2017</v>
      </c>
      <c r="AG4" s="330">
        <v>2018</v>
      </c>
      <c r="AH4" s="330">
        <f t="shared" si="2"/>
        <v>2018</v>
      </c>
      <c r="AI4" s="330">
        <f t="shared" si="2"/>
        <v>2018</v>
      </c>
      <c r="AJ4" s="330">
        <f t="shared" si="2"/>
        <v>2018</v>
      </c>
      <c r="AK4" s="330">
        <f t="shared" si="2"/>
        <v>2018</v>
      </c>
      <c r="AL4" s="330">
        <f t="shared" si="2"/>
        <v>2018</v>
      </c>
      <c r="AM4" s="210"/>
    </row>
    <row r="5" spans="1:43" ht="15" customHeight="1">
      <c r="B5" s="209" t="s">
        <v>143</v>
      </c>
      <c r="C5" s="209"/>
      <c r="D5" s="343" t="s">
        <v>144</v>
      </c>
      <c r="E5" s="343" t="str">
        <f>D5</f>
        <v>actual</v>
      </c>
      <c r="F5" s="343" t="str">
        <f>E5</f>
        <v>actual</v>
      </c>
      <c r="G5" s="343" t="str">
        <f>F5</f>
        <v>actual</v>
      </c>
      <c r="H5" s="343" t="str">
        <f t="shared" si="0"/>
        <v>actual</v>
      </c>
      <c r="I5" s="343" t="str">
        <f t="shared" si="0"/>
        <v>actual</v>
      </c>
      <c r="J5" s="343" t="str">
        <f t="shared" si="0"/>
        <v>actual</v>
      </c>
      <c r="K5" s="343" t="str">
        <f t="shared" si="1"/>
        <v>actual</v>
      </c>
      <c r="L5" s="343" t="str">
        <f t="shared" si="1"/>
        <v>actual</v>
      </c>
      <c r="M5" s="343" t="str">
        <f t="shared" si="1"/>
        <v>actual</v>
      </c>
      <c r="N5" s="343" t="str">
        <f t="shared" si="1"/>
        <v>actual</v>
      </c>
      <c r="O5" s="343" t="str">
        <f t="shared" si="1"/>
        <v>actual</v>
      </c>
      <c r="P5" s="211"/>
      <c r="Q5" s="211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3"/>
    </row>
    <row r="6" spans="1:43" s="217" customFormat="1" ht="15" customHeight="1">
      <c r="B6" s="241"/>
      <c r="C6" s="241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1"/>
      <c r="Q6" s="211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</row>
    <row r="7" spans="1:43" s="217" customFormat="1" ht="15" customHeight="1">
      <c r="B7" s="241" t="s">
        <v>179</v>
      </c>
      <c r="C7" s="241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1"/>
      <c r="Q7" s="211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</row>
    <row r="8" spans="1:43" ht="15" customHeight="1">
      <c r="B8" s="235" t="s">
        <v>25</v>
      </c>
      <c r="C8" s="235"/>
      <c r="D8" s="362">
        <v>1.9300000000000001E-2</v>
      </c>
      <c r="E8" s="362">
        <v>1.9300000000000001E-2</v>
      </c>
      <c r="F8" s="362">
        <v>1.9300000000000001E-2</v>
      </c>
      <c r="G8" s="362">
        <v>1.9300000000000001E-2</v>
      </c>
      <c r="H8" s="362">
        <v>1.9300000000000001E-2</v>
      </c>
      <c r="I8" s="362">
        <v>1.9300000000000001E-2</v>
      </c>
      <c r="J8" s="362">
        <v>1.9300000000000001E-2</v>
      </c>
      <c r="K8" s="362">
        <v>1.9300000000000001E-2</v>
      </c>
      <c r="L8" s="362">
        <v>1.9300000000000001E-2</v>
      </c>
      <c r="M8" s="362">
        <v>1.9300000000000001E-2</v>
      </c>
      <c r="N8" s="362">
        <v>1.9300000000000001E-2</v>
      </c>
      <c r="O8" s="362">
        <v>1.9300000000000001E-2</v>
      </c>
      <c r="P8" s="362">
        <v>2.6699999999999998E-2</v>
      </c>
      <c r="Q8" s="362">
        <v>2.6699999999999998E-2</v>
      </c>
      <c r="R8" s="329">
        <v>2.6699999999999998E-2</v>
      </c>
      <c r="S8" s="329">
        <v>2.6699999999999998E-2</v>
      </c>
      <c r="T8" s="329">
        <v>2.6699999999999998E-2</v>
      </c>
      <c r="U8" s="329">
        <v>2.6699999999999998E-2</v>
      </c>
      <c r="V8" s="329">
        <v>2.6699999999999998E-2</v>
      </c>
      <c r="W8" s="329">
        <v>2.6699999999999998E-2</v>
      </c>
      <c r="X8" s="329">
        <v>2.6699999999999998E-2</v>
      </c>
      <c r="Y8" s="329">
        <v>2.6699999999999998E-2</v>
      </c>
      <c r="Z8" s="329">
        <v>2.6699999999999998E-2</v>
      </c>
      <c r="AA8" s="329">
        <v>2.6699999999999998E-2</v>
      </c>
      <c r="AB8" s="329">
        <v>2.6699999999999998E-2</v>
      </c>
      <c r="AC8" s="329">
        <v>2.6699999999999998E-2</v>
      </c>
      <c r="AD8" s="329">
        <v>2.6699999999999998E-2</v>
      </c>
      <c r="AE8" s="329">
        <v>2.6699999999999998E-2</v>
      </c>
      <c r="AF8" s="329">
        <v>2.6699999999999998E-2</v>
      </c>
      <c r="AG8" s="329">
        <v>2.6699999999999998E-2</v>
      </c>
      <c r="AH8" s="329">
        <v>2.6699999999999998E-2</v>
      </c>
      <c r="AI8" s="329">
        <v>2.6699999999999998E-2</v>
      </c>
      <c r="AJ8" s="329">
        <v>2.6699999999999998E-2</v>
      </c>
      <c r="AK8" s="329">
        <v>2.6699999999999998E-2</v>
      </c>
      <c r="AL8" s="329">
        <v>2.6699999999999998E-2</v>
      </c>
      <c r="AM8" s="213" t="s">
        <v>200</v>
      </c>
    </row>
    <row r="9" spans="1:43" ht="15" customHeight="1">
      <c r="B9" s="213" t="s">
        <v>148</v>
      </c>
      <c r="C9" s="213"/>
      <c r="D9" s="352">
        <v>0.40849999999999997</v>
      </c>
      <c r="E9" s="352">
        <v>0.40849999999999997</v>
      </c>
      <c r="F9" s="352">
        <v>0.40849999999999997</v>
      </c>
      <c r="G9" s="352">
        <v>0.40849999999999997</v>
      </c>
      <c r="H9" s="352">
        <v>0.40849999999999997</v>
      </c>
      <c r="I9" s="352">
        <v>0.40849999999999997</v>
      </c>
      <c r="J9" s="352">
        <v>0.40849999999999997</v>
      </c>
      <c r="K9" s="352">
        <v>0.40849999999999997</v>
      </c>
      <c r="L9" s="352">
        <v>0.40849999999999997</v>
      </c>
      <c r="M9" s="352">
        <v>0.40849999999999997</v>
      </c>
      <c r="N9" s="352">
        <v>0.40849999999999997</v>
      </c>
      <c r="O9" s="352">
        <v>0.40849999999999997</v>
      </c>
      <c r="P9" s="352">
        <v>0.40849999999999997</v>
      </c>
      <c r="Q9" s="352">
        <v>0.40849999999999997</v>
      </c>
      <c r="R9" s="352">
        <v>0.40849999999999997</v>
      </c>
      <c r="S9" s="352">
        <v>0.40849999999999997</v>
      </c>
      <c r="T9" s="352">
        <v>0.40849999999999997</v>
      </c>
      <c r="U9" s="352">
        <v>0.40849999999999997</v>
      </c>
      <c r="V9" s="352">
        <v>0.40849999999999997</v>
      </c>
      <c r="W9" s="352">
        <v>0.40849999999999997</v>
      </c>
      <c r="X9" s="352">
        <v>0.40849999999999997</v>
      </c>
      <c r="Y9" s="352">
        <v>0.40849999999999997</v>
      </c>
      <c r="Z9" s="352">
        <v>0.40849999999999997</v>
      </c>
      <c r="AA9" s="352">
        <v>0.40849999999999997</v>
      </c>
      <c r="AB9" s="352">
        <v>0.40849999999999997</v>
      </c>
      <c r="AC9" s="352">
        <v>0.40849999999999997</v>
      </c>
      <c r="AD9" s="352">
        <v>0.40849999999999997</v>
      </c>
      <c r="AE9" s="352">
        <v>0.40849999999999997</v>
      </c>
      <c r="AF9" s="352">
        <v>0.40849999999999997</v>
      </c>
      <c r="AG9" s="352">
        <v>0.40849999999999997</v>
      </c>
      <c r="AH9" s="352">
        <v>0.40849999999999997</v>
      </c>
      <c r="AI9" s="352">
        <v>0.40849999999999997</v>
      </c>
      <c r="AJ9" s="352">
        <v>0.40849999999999997</v>
      </c>
      <c r="AK9" s="352">
        <v>0.40849999999999997</v>
      </c>
      <c r="AL9" s="352">
        <v>0.40849999999999997</v>
      </c>
      <c r="AM9" s="213"/>
    </row>
    <row r="10" spans="1:43" s="217" customFormat="1" ht="15" customHeight="1"/>
    <row r="11" spans="1:43" s="217" customFormat="1" ht="15" customHeight="1">
      <c r="A11" s="213" t="s">
        <v>145</v>
      </c>
      <c r="B11" s="241" t="s">
        <v>156</v>
      </c>
      <c r="C11" s="241"/>
      <c r="D11" s="213"/>
    </row>
    <row r="12" spans="1:43" ht="22.5">
      <c r="B12" s="241" t="s">
        <v>149</v>
      </c>
      <c r="C12" s="344" t="s">
        <v>182</v>
      </c>
      <c r="D12" s="342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</row>
    <row r="13" spans="1:43" ht="15" customHeight="1">
      <c r="B13" s="217"/>
      <c r="C13" s="217"/>
      <c r="D13" s="215"/>
      <c r="E13" s="215"/>
      <c r="F13" s="215"/>
      <c r="G13" s="215"/>
      <c r="H13" s="215"/>
      <c r="I13" s="215"/>
      <c r="J13" s="215"/>
      <c r="K13" s="214"/>
      <c r="L13" s="214"/>
      <c r="M13" s="214"/>
    </row>
    <row r="14" spans="1:43" ht="15" customHeight="1">
      <c r="A14" s="212" t="s">
        <v>145</v>
      </c>
      <c r="B14" s="241" t="s">
        <v>155</v>
      </c>
      <c r="C14" s="241"/>
      <c r="D14" s="216"/>
      <c r="E14" s="215"/>
      <c r="F14" s="215"/>
      <c r="G14" s="215"/>
      <c r="H14" s="215"/>
      <c r="I14" s="215"/>
      <c r="J14" s="215"/>
      <c r="K14" s="214"/>
      <c r="L14" s="214"/>
      <c r="M14" s="214"/>
    </row>
    <row r="15" spans="1:43" ht="24" customHeight="1">
      <c r="B15" s="241" t="s">
        <v>149</v>
      </c>
      <c r="C15" s="344" t="s">
        <v>182</v>
      </c>
      <c r="D15" s="342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217"/>
      <c r="Q15" s="217"/>
      <c r="R15" s="217"/>
      <c r="S15" s="217"/>
    </row>
    <row r="16" spans="1:43" ht="15" customHeight="1">
      <c r="B16" s="241"/>
      <c r="C16" s="241"/>
      <c r="D16" s="217"/>
      <c r="E16" s="217"/>
      <c r="F16" s="217"/>
      <c r="G16" s="217"/>
      <c r="H16" s="217"/>
      <c r="I16" s="217"/>
      <c r="J16" s="217"/>
      <c r="P16" s="217"/>
      <c r="Q16" s="217"/>
      <c r="R16" s="217"/>
      <c r="S16" s="217"/>
    </row>
    <row r="17" spans="1:19" ht="15" customHeight="1">
      <c r="A17" s="212" t="s">
        <v>145</v>
      </c>
      <c r="B17" s="241" t="s">
        <v>154</v>
      </c>
      <c r="C17" s="241"/>
      <c r="P17" s="217"/>
      <c r="Q17" s="217"/>
      <c r="R17" s="217"/>
      <c r="S17" s="217"/>
    </row>
    <row r="18" spans="1:19" ht="15" customHeight="1">
      <c r="B18" s="241" t="s">
        <v>150</v>
      </c>
      <c r="C18" s="241"/>
      <c r="D18" s="353">
        <v>-69073651.178645372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217"/>
      <c r="R18" s="217"/>
      <c r="S18" s="217"/>
    </row>
    <row r="19" spans="1:19" ht="15" customHeight="1">
      <c r="B19" s="241" t="s">
        <v>151</v>
      </c>
      <c r="C19" s="241"/>
      <c r="D19" s="353">
        <v>2348058.3791183615</v>
      </c>
      <c r="E19" s="353">
        <v>1837140.0747051644</v>
      </c>
      <c r="F19" s="353">
        <v>1589356.9680546164</v>
      </c>
      <c r="G19" s="353">
        <v>1480111.1252386668</v>
      </c>
      <c r="H19" s="353">
        <v>1690238.9792635876</v>
      </c>
      <c r="I19" s="353">
        <v>1737696.6775451454</v>
      </c>
      <c r="J19" s="353">
        <v>1562817.8244325705</v>
      </c>
      <c r="K19" s="353">
        <v>1703121.8147194274</v>
      </c>
      <c r="L19" s="353">
        <v>1465071.0487167821</v>
      </c>
      <c r="M19" s="353">
        <v>1544860.6396150349</v>
      </c>
      <c r="N19" s="353">
        <v>1841342.9003388747</v>
      </c>
      <c r="O19" s="353">
        <v>2145809.6883780258</v>
      </c>
      <c r="P19" s="353">
        <v>1975008.426248044</v>
      </c>
      <c r="Q19" s="353">
        <v>1711459.7754837975</v>
      </c>
      <c r="R19" s="217"/>
      <c r="S19" s="217"/>
    </row>
    <row r="20" spans="1:19" ht="15" customHeight="1">
      <c r="B20" s="241" t="s">
        <v>152</v>
      </c>
      <c r="C20" s="241"/>
      <c r="D20" s="353">
        <v>-1910239.2959999996</v>
      </c>
      <c r="E20" s="353">
        <v>-2811512.7782413117</v>
      </c>
      <c r="F20" s="353">
        <v>-2177697.2439999999</v>
      </c>
      <c r="G20" s="353">
        <v>-3131177.9160000002</v>
      </c>
      <c r="H20" s="353">
        <v>-2726576</v>
      </c>
      <c r="I20" s="353">
        <v>-649305.66800000006</v>
      </c>
      <c r="J20" s="353">
        <v>-1606017.7439999999</v>
      </c>
      <c r="K20" s="353">
        <v>-2278540</v>
      </c>
      <c r="L20" s="353">
        <v>-1592982.5120000001</v>
      </c>
      <c r="M20" s="353">
        <v>-1216436.4000000001</v>
      </c>
      <c r="N20" s="353">
        <v>-1959300</v>
      </c>
      <c r="O20" s="353">
        <v>-1021004.7440000001</v>
      </c>
      <c r="P20" s="353">
        <v>-1335429.236</v>
      </c>
      <c r="Q20" s="353">
        <v>-838949.6</v>
      </c>
      <c r="R20" s="217"/>
      <c r="S20" s="217"/>
    </row>
    <row r="21" spans="1:19" ht="15" customHeight="1">
      <c r="B21" s="217"/>
      <c r="C21" s="217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217"/>
      <c r="S21" s="217"/>
    </row>
    <row r="22" spans="1:19" ht="20.25" customHeight="1">
      <c r="B22" s="241" t="s">
        <v>149</v>
      </c>
      <c r="C22" s="344" t="s">
        <v>183</v>
      </c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39"/>
      <c r="Q22" s="339"/>
      <c r="R22" s="217"/>
      <c r="S22" s="217"/>
    </row>
    <row r="23" spans="1:19" ht="15" customHeight="1">
      <c r="B23" s="241"/>
      <c r="C23" s="241"/>
      <c r="P23" s="217"/>
      <c r="Q23" s="217"/>
      <c r="R23" s="217"/>
      <c r="S23" s="217"/>
    </row>
    <row r="24" spans="1:19" ht="15" customHeight="1">
      <c r="A24" s="212" t="s">
        <v>146</v>
      </c>
      <c r="B24" s="241" t="s">
        <v>153</v>
      </c>
      <c r="C24" s="241"/>
      <c r="P24" s="217"/>
      <c r="Q24" s="217"/>
      <c r="R24" s="217"/>
      <c r="S24" s="217"/>
    </row>
    <row r="25" spans="1:19" ht="15" customHeight="1">
      <c r="B25" s="213" t="s">
        <v>150</v>
      </c>
      <c r="C25" s="213"/>
      <c r="D25" s="354">
        <v>-107503581.80703203</v>
      </c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217"/>
      <c r="Q25" s="217"/>
      <c r="R25" s="217"/>
      <c r="S25" s="217"/>
    </row>
    <row r="26" spans="1:19" ht="15" customHeight="1">
      <c r="B26" s="209" t="s">
        <v>151</v>
      </c>
      <c r="C26" s="209"/>
      <c r="D26" s="354">
        <v>766371.11082747439</v>
      </c>
      <c r="E26" s="354">
        <v>710884.04699004907</v>
      </c>
      <c r="F26" s="354">
        <v>1319431.5389596843</v>
      </c>
      <c r="G26" s="354">
        <v>2412890.1700922772</v>
      </c>
      <c r="H26" s="354">
        <v>4058278.5437099119</v>
      </c>
      <c r="I26" s="354">
        <v>4144272.2750667864</v>
      </c>
      <c r="J26" s="354">
        <v>3419297.0621560849</v>
      </c>
      <c r="K26" s="354">
        <v>4235289</v>
      </c>
      <c r="L26" s="354">
        <v>1582049.5854758015</v>
      </c>
      <c r="M26" s="354">
        <v>1407439.133643989</v>
      </c>
      <c r="N26" s="354">
        <v>965412.94452557852</v>
      </c>
      <c r="O26" s="354">
        <v>993429.9676393253</v>
      </c>
      <c r="P26" s="354">
        <v>746936.51612149575</v>
      </c>
      <c r="Q26" s="354">
        <v>658356.40990692959</v>
      </c>
      <c r="R26" s="217"/>
      <c r="S26" s="217"/>
    </row>
    <row r="27" spans="1:19" ht="15" customHeight="1">
      <c r="B27" s="209" t="s">
        <v>152</v>
      </c>
      <c r="C27" s="209"/>
      <c r="D27" s="354">
        <v>-2865358.9439999992</v>
      </c>
      <c r="E27" s="354">
        <v>-4217269.1673619673</v>
      </c>
      <c r="F27" s="354">
        <v>-3266545.8659999995</v>
      </c>
      <c r="G27" s="354">
        <v>-4696766.8739999998</v>
      </c>
      <c r="H27" s="354">
        <v>-4089865</v>
      </c>
      <c r="I27" s="354">
        <v>-973958.5</v>
      </c>
      <c r="J27" s="354">
        <v>-2409026.62</v>
      </c>
      <c r="K27" s="354">
        <v>-3417811</v>
      </c>
      <c r="L27" s="354">
        <v>-2389473.77</v>
      </c>
      <c r="M27" s="354">
        <v>-1824654.6</v>
      </c>
      <c r="N27" s="354">
        <v>-2938950</v>
      </c>
      <c r="O27" s="354">
        <v>-1531507.12</v>
      </c>
      <c r="P27" s="354">
        <v>-2003143.8539999998</v>
      </c>
      <c r="Q27" s="354">
        <v>-1258424.3999999997</v>
      </c>
      <c r="R27" s="217"/>
      <c r="S27" s="217"/>
    </row>
    <row r="28" spans="1:19" ht="15" customHeight="1">
      <c r="D28" s="219"/>
      <c r="E28" s="219"/>
      <c r="F28" s="219"/>
      <c r="P28" s="217"/>
      <c r="Q28" s="217"/>
      <c r="R28" s="217"/>
      <c r="S28" s="217"/>
    </row>
    <row r="29" spans="1:19" ht="20.25" customHeight="1">
      <c r="B29" s="241" t="s">
        <v>149</v>
      </c>
      <c r="C29" s="344" t="s">
        <v>184</v>
      </c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39"/>
      <c r="Q29" s="339"/>
      <c r="R29" s="217"/>
      <c r="S29" s="217"/>
    </row>
    <row r="30" spans="1:19" ht="15" customHeight="1">
      <c r="P30" s="217"/>
      <c r="Q30" s="217"/>
      <c r="R30" s="217"/>
      <c r="S30" s="217"/>
    </row>
    <row r="31" spans="1:19" ht="15" customHeight="1">
      <c r="A31" s="212" t="s">
        <v>145</v>
      </c>
      <c r="B31" s="209" t="s">
        <v>157</v>
      </c>
      <c r="C31" s="209"/>
      <c r="P31" s="217"/>
      <c r="Q31" s="217"/>
      <c r="R31" s="217"/>
      <c r="S31" s="217"/>
    </row>
    <row r="32" spans="1:19" ht="15" customHeight="1">
      <c r="P32" s="217"/>
      <c r="Q32" s="217"/>
      <c r="R32" s="217"/>
      <c r="S32" s="217"/>
    </row>
    <row r="33" spans="1:31" ht="15" customHeight="1">
      <c r="B33" s="45" t="s">
        <v>113</v>
      </c>
      <c r="C33" s="45"/>
      <c r="P33" s="217"/>
      <c r="Q33" s="217"/>
      <c r="R33" s="217"/>
      <c r="S33" s="217"/>
    </row>
    <row r="34" spans="1:31" ht="15" customHeight="1">
      <c r="B34" s="45" t="s">
        <v>163</v>
      </c>
      <c r="C34" s="359">
        <v>33318.211915071675</v>
      </c>
      <c r="D34" s="346" t="s">
        <v>201</v>
      </c>
    </row>
    <row r="35" spans="1:31" ht="15" customHeight="1">
      <c r="B35" s="45" t="s">
        <v>162</v>
      </c>
      <c r="C35" s="359">
        <v>20398.421970205949</v>
      </c>
      <c r="D35" s="346" t="s">
        <v>202</v>
      </c>
      <c r="E35" s="212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</row>
    <row r="36" spans="1:31" ht="15" customHeight="1">
      <c r="B36" s="45"/>
      <c r="C36" s="45"/>
      <c r="D36" s="249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</row>
    <row r="37" spans="1:31" ht="18.75" customHeight="1">
      <c r="B37" s="345" t="s">
        <v>149</v>
      </c>
      <c r="C37" s="344" t="s">
        <v>185</v>
      </c>
      <c r="D37" s="344"/>
      <c r="E37" s="344"/>
      <c r="F37" s="344"/>
      <c r="G37" s="344"/>
      <c r="H37" s="344"/>
      <c r="I37" s="344"/>
      <c r="J37" s="344"/>
      <c r="K37" s="344"/>
    </row>
    <row r="38" spans="1:31" ht="17.25" customHeight="1">
      <c r="B38" s="345"/>
      <c r="C38" s="344" t="s">
        <v>203</v>
      </c>
      <c r="D38" s="344"/>
      <c r="E38" s="344"/>
      <c r="F38" s="344"/>
      <c r="G38" s="344"/>
      <c r="H38" s="344"/>
      <c r="I38" s="344"/>
      <c r="J38" s="344"/>
      <c r="K38" s="344"/>
    </row>
    <row r="39" spans="1:31" ht="15" customHeight="1">
      <c r="B39" s="241"/>
      <c r="C39" s="241"/>
      <c r="D39" s="338"/>
      <c r="E39" s="338"/>
      <c r="F39" s="338"/>
      <c r="G39" s="338"/>
      <c r="H39" s="338"/>
      <c r="I39" s="338"/>
      <c r="J39" s="338"/>
      <c r="K39" s="338"/>
    </row>
    <row r="40" spans="1:31" ht="15" customHeight="1">
      <c r="A40" s="212" t="s">
        <v>145</v>
      </c>
      <c r="B40" s="209" t="s">
        <v>164</v>
      </c>
      <c r="C40" s="209"/>
    </row>
    <row r="41" spans="1:31" ht="15" customHeight="1">
      <c r="B41" s="186" t="s">
        <v>166</v>
      </c>
      <c r="C41" s="353">
        <v>6000000</v>
      </c>
      <c r="D41" s="336">
        <v>0</v>
      </c>
      <c r="E41" s="336">
        <v>0</v>
      </c>
      <c r="F41" s="336">
        <v>0</v>
      </c>
      <c r="G41" s="336">
        <v>0</v>
      </c>
      <c r="H41" s="336">
        <v>0</v>
      </c>
      <c r="I41" s="336">
        <v>6000000</v>
      </c>
      <c r="J41" s="336">
        <v>0</v>
      </c>
      <c r="K41" s="336">
        <v>0</v>
      </c>
      <c r="L41" s="336">
        <v>0</v>
      </c>
      <c r="M41" s="336">
        <v>0</v>
      </c>
      <c r="N41" s="336">
        <v>0</v>
      </c>
      <c r="O41" s="336">
        <v>0</v>
      </c>
    </row>
    <row r="42" spans="1:31" ht="15" customHeight="1">
      <c r="B42" s="186" t="s">
        <v>119</v>
      </c>
      <c r="C42" s="353">
        <v>21531.63</v>
      </c>
      <c r="D42" s="336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</row>
    <row r="43" spans="1:31" ht="15" customHeight="1">
      <c r="B43" s="242" t="s">
        <v>38</v>
      </c>
      <c r="C43" s="353">
        <v>0</v>
      </c>
      <c r="D43" s="336"/>
    </row>
    <row r="44" spans="1:31" ht="15" customHeight="1">
      <c r="A44" s="212"/>
      <c r="B44" s="242" t="s">
        <v>31</v>
      </c>
      <c r="C44" s="353">
        <v>27950.04</v>
      </c>
      <c r="D44" s="336"/>
    </row>
    <row r="45" spans="1:31" ht="15" customHeight="1">
      <c r="A45" s="212"/>
      <c r="B45" s="149" t="s">
        <v>32</v>
      </c>
      <c r="C45" s="353">
        <v>1044321.6</v>
      </c>
      <c r="D45" s="336"/>
    </row>
    <row r="46" spans="1:31" ht="15" customHeight="1">
      <c r="B46" s="242" t="s">
        <v>36</v>
      </c>
      <c r="C46" s="353">
        <v>2700</v>
      </c>
      <c r="D46" s="336"/>
      <c r="E46" s="220"/>
      <c r="F46" s="220"/>
      <c r="G46" s="220"/>
      <c r="H46" s="220"/>
      <c r="I46" s="220"/>
      <c r="J46" s="220"/>
      <c r="K46" s="221"/>
      <c r="L46" s="221"/>
      <c r="M46" s="221"/>
      <c r="N46" s="221"/>
      <c r="O46" s="221"/>
    </row>
    <row r="47" spans="1:31" ht="15" customHeight="1">
      <c r="B47" s="149" t="s">
        <v>173</v>
      </c>
      <c r="C47" s="353">
        <v>54250</v>
      </c>
      <c r="D47" s="336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</row>
    <row r="48" spans="1:31" ht="15" customHeight="1">
      <c r="B48" s="149" t="s">
        <v>177</v>
      </c>
      <c r="C48" s="353">
        <v>900</v>
      </c>
      <c r="D48" s="336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</row>
    <row r="49" spans="1:17" ht="15" customHeight="1">
      <c r="B49" s="149" t="s">
        <v>57</v>
      </c>
      <c r="C49" s="336"/>
      <c r="D49" s="336">
        <v>39290.68</v>
      </c>
      <c r="E49" s="337">
        <v>2329.17</v>
      </c>
      <c r="F49" s="337">
        <v>23860.800000000003</v>
      </c>
      <c r="G49" s="337">
        <v>445623.75999999995</v>
      </c>
      <c r="H49" s="337">
        <v>2329.17</v>
      </c>
      <c r="I49" s="337">
        <v>2329.17</v>
      </c>
      <c r="J49" s="337">
        <v>263401.73</v>
      </c>
      <c r="K49" s="337">
        <v>2329.17</v>
      </c>
      <c r="L49" s="337">
        <v>2329.17</v>
      </c>
      <c r="M49" s="337">
        <v>308550.76999999996</v>
      </c>
      <c r="N49" s="337">
        <v>5029.17</v>
      </c>
      <c r="O49" s="337">
        <v>54250</v>
      </c>
      <c r="P49" s="285"/>
    </row>
    <row r="50" spans="1:17" ht="15" customHeight="1">
      <c r="B50" s="149" t="s">
        <v>178</v>
      </c>
      <c r="C50" s="336">
        <v>7441.8224766067033</v>
      </c>
      <c r="D50" s="336">
        <v>-7441.8224766067033</v>
      </c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</row>
    <row r="51" spans="1:17" ht="24" customHeight="1">
      <c r="B51" s="241" t="s">
        <v>149</v>
      </c>
      <c r="C51" s="344" t="s">
        <v>186</v>
      </c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</row>
    <row r="52" spans="1:17" ht="15" customHeight="1">
      <c r="B52" s="149"/>
      <c r="C52" s="149"/>
      <c r="D52" s="48"/>
    </row>
    <row r="53" spans="1:17" ht="15" customHeight="1">
      <c r="A53" s="212" t="s">
        <v>145</v>
      </c>
      <c r="B53" s="209" t="s">
        <v>167</v>
      </c>
      <c r="C53" s="209"/>
    </row>
    <row r="54" spans="1:17" ht="15" customHeight="1">
      <c r="A54" s="212"/>
      <c r="B54" s="209"/>
      <c r="C54" s="209"/>
    </row>
    <row r="55" spans="1:17" ht="15" customHeight="1">
      <c r="B55" s="90" t="s">
        <v>7</v>
      </c>
      <c r="C55" s="90"/>
      <c r="D55" s="357">
        <v>1526063.8891809063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</row>
    <row r="56" spans="1:17" ht="15" customHeight="1">
      <c r="B56" s="90" t="s">
        <v>8</v>
      </c>
      <c r="C56" s="90"/>
      <c r="D56" s="357">
        <v>286092.33336951246</v>
      </c>
      <c r="N56" s="223"/>
      <c r="O56" s="223"/>
    </row>
    <row r="57" spans="1:17" ht="15" customHeight="1">
      <c r="B57" s="90" t="s">
        <v>9</v>
      </c>
      <c r="C57" s="90"/>
      <c r="D57" s="357">
        <v>726687.54992485314</v>
      </c>
    </row>
    <row r="58" spans="1:17" ht="15" customHeight="1">
      <c r="B58" s="90" t="s">
        <v>10</v>
      </c>
      <c r="C58" s="90"/>
      <c r="D58" s="357">
        <v>44899.382999999987</v>
      </c>
      <c r="E58" s="214"/>
    </row>
    <row r="59" spans="1:17" ht="15" customHeight="1">
      <c r="B59" s="90" t="s">
        <v>69</v>
      </c>
      <c r="C59" s="90"/>
      <c r="D59" s="357">
        <v>388894.91800000006</v>
      </c>
      <c r="E59" s="214"/>
      <c r="M59" s="224"/>
      <c r="N59" s="224"/>
      <c r="O59" s="224"/>
    </row>
    <row r="60" spans="1:17" ht="15" customHeight="1">
      <c r="B60" s="90" t="s">
        <v>11</v>
      </c>
      <c r="C60" s="90"/>
      <c r="D60" s="357">
        <v>682.5139999999999</v>
      </c>
      <c r="M60" s="220"/>
      <c r="N60" s="220"/>
      <c r="O60" s="220"/>
    </row>
    <row r="61" spans="1:17" ht="15" customHeight="1">
      <c r="B61" s="360" t="s">
        <v>204</v>
      </c>
      <c r="D61" s="208">
        <v>1.0662499999999999</v>
      </c>
      <c r="E61" s="363" t="s">
        <v>207</v>
      </c>
      <c r="M61" s="220"/>
      <c r="N61" s="220"/>
      <c r="O61" s="220"/>
    </row>
    <row r="62" spans="1:17" ht="15" customHeight="1">
      <c r="B62" s="149" t="s">
        <v>171</v>
      </c>
      <c r="C62" s="149"/>
      <c r="D62" s="358">
        <v>44352637.955898464</v>
      </c>
      <c r="M62" s="220"/>
      <c r="N62" s="220"/>
      <c r="O62" s="220"/>
    </row>
    <row r="63" spans="1:17" ht="15" customHeight="1">
      <c r="B63" s="149"/>
      <c r="C63" s="149"/>
      <c r="D63" s="286"/>
      <c r="M63" s="220"/>
      <c r="N63" s="220"/>
      <c r="O63" s="220"/>
    </row>
    <row r="64" spans="1:17" ht="15" customHeight="1">
      <c r="B64" s="90" t="s">
        <v>13</v>
      </c>
      <c r="C64" s="333">
        <v>7.5377E-2</v>
      </c>
      <c r="D64" s="212" t="s">
        <v>180</v>
      </c>
      <c r="E64" s="272"/>
      <c r="F64" s="272"/>
      <c r="G64" s="272"/>
      <c r="H64" s="272"/>
      <c r="I64" s="272"/>
      <c r="J64" s="272"/>
      <c r="K64" s="272"/>
      <c r="L64" s="272"/>
      <c r="M64" s="220"/>
      <c r="N64" s="220"/>
      <c r="O64" s="220"/>
    </row>
    <row r="65" spans="1:16" ht="15" customHeight="1">
      <c r="B65" s="90" t="s">
        <v>14</v>
      </c>
      <c r="C65" s="333">
        <v>5.1232E-2</v>
      </c>
      <c r="D65" s="212" t="s">
        <v>180</v>
      </c>
      <c r="E65" s="272"/>
      <c r="F65" s="272"/>
      <c r="G65" s="272"/>
      <c r="H65" s="272"/>
      <c r="I65" s="272"/>
      <c r="J65" s="272"/>
      <c r="K65" s="272"/>
      <c r="L65" s="272"/>
      <c r="M65" s="220"/>
      <c r="N65" s="220"/>
      <c r="O65" s="220"/>
    </row>
    <row r="66" spans="1:16" ht="15" customHeight="1">
      <c r="B66" s="90" t="s">
        <v>15</v>
      </c>
      <c r="C66" s="333">
        <v>2.9402000000000001E-2</v>
      </c>
      <c r="D66" s="212" t="s">
        <v>180</v>
      </c>
      <c r="E66" s="272"/>
      <c r="F66" s="272"/>
      <c r="G66" s="272"/>
      <c r="H66" s="272"/>
      <c r="I66" s="272"/>
      <c r="J66" s="272"/>
      <c r="K66" s="272"/>
      <c r="L66" s="272"/>
      <c r="M66" s="220"/>
      <c r="N66" s="220"/>
      <c r="O66" s="220"/>
    </row>
    <row r="67" spans="1:16" ht="15" customHeight="1">
      <c r="B67" s="90" t="s">
        <v>16</v>
      </c>
      <c r="C67" s="333">
        <v>1.4590000000000001E-2</v>
      </c>
      <c r="D67" s="212" t="s">
        <v>180</v>
      </c>
      <c r="E67" s="272"/>
      <c r="F67" s="272"/>
      <c r="G67" s="272"/>
      <c r="H67" s="272"/>
      <c r="I67" s="272"/>
      <c r="J67" s="272"/>
      <c r="K67" s="272"/>
      <c r="L67" s="272"/>
      <c r="M67" s="220"/>
      <c r="N67" s="220"/>
      <c r="O67" s="220"/>
    </row>
    <row r="68" spans="1:16" ht="15" customHeight="1">
      <c r="B68" s="90"/>
      <c r="C68" s="90"/>
      <c r="D68" s="272"/>
      <c r="E68" s="272"/>
      <c r="F68" s="272"/>
      <c r="G68" s="272"/>
      <c r="H68" s="272"/>
      <c r="I68" s="272"/>
      <c r="J68" s="272"/>
      <c r="K68" s="272"/>
      <c r="L68" s="272"/>
      <c r="M68" s="220"/>
      <c r="N68" s="220"/>
      <c r="O68" s="220"/>
    </row>
    <row r="69" spans="1:16" ht="15" customHeight="1">
      <c r="B69" s="241" t="s">
        <v>170</v>
      </c>
      <c r="C69" s="241"/>
      <c r="D69" s="344" t="s">
        <v>187</v>
      </c>
      <c r="E69" s="344"/>
      <c r="F69" s="344"/>
      <c r="G69" s="344"/>
      <c r="H69" s="344"/>
      <c r="I69" s="344"/>
      <c r="J69" s="344"/>
      <c r="K69" s="344"/>
      <c r="L69" s="344"/>
    </row>
    <row r="70" spans="1:16" ht="15" customHeight="1">
      <c r="A70" s="212"/>
      <c r="B70" s="241" t="s">
        <v>170</v>
      </c>
      <c r="C70" s="241"/>
      <c r="D70" s="344" t="s">
        <v>188</v>
      </c>
      <c r="E70" s="344"/>
      <c r="F70" s="344"/>
      <c r="G70" s="344"/>
      <c r="H70" s="344"/>
      <c r="I70" s="344"/>
      <c r="J70" s="344"/>
      <c r="K70" s="344"/>
      <c r="L70" s="344"/>
    </row>
    <row r="71" spans="1:16" ht="15" customHeight="1">
      <c r="B71" s="241" t="s">
        <v>170</v>
      </c>
      <c r="C71" s="241"/>
      <c r="D71" s="344" t="s">
        <v>189</v>
      </c>
      <c r="E71" s="344"/>
      <c r="F71" s="344"/>
      <c r="G71" s="344"/>
      <c r="H71" s="344"/>
      <c r="I71" s="344"/>
      <c r="J71" s="344"/>
      <c r="K71" s="344"/>
      <c r="L71" s="344"/>
    </row>
    <row r="72" spans="1:16" ht="19.5" customHeight="1">
      <c r="B72" s="241" t="s">
        <v>170</v>
      </c>
      <c r="C72" s="241"/>
      <c r="D72" s="344" t="s">
        <v>197</v>
      </c>
      <c r="E72" s="344"/>
      <c r="F72" s="344"/>
      <c r="G72" s="344"/>
      <c r="H72" s="344"/>
      <c r="I72" s="344"/>
      <c r="J72" s="344"/>
      <c r="K72" s="344"/>
      <c r="L72" s="344"/>
      <c r="M72" s="225"/>
      <c r="N72" s="225"/>
      <c r="O72" s="225"/>
    </row>
    <row r="73" spans="1:16" ht="15" customHeight="1">
      <c r="B73" s="241" t="s">
        <v>170</v>
      </c>
      <c r="C73" s="241"/>
      <c r="D73" s="344" t="s">
        <v>198</v>
      </c>
      <c r="E73" s="344"/>
      <c r="F73" s="344"/>
      <c r="G73" s="344"/>
      <c r="H73" s="344"/>
      <c r="I73" s="344"/>
      <c r="J73" s="344"/>
      <c r="K73" s="344"/>
      <c r="L73" s="344"/>
      <c r="M73" s="225"/>
      <c r="N73" s="225"/>
      <c r="O73" s="225"/>
    </row>
    <row r="74" spans="1:16" ht="15" customHeight="1">
      <c r="B74" s="241" t="s">
        <v>170</v>
      </c>
      <c r="C74" s="241"/>
      <c r="D74" s="344" t="s">
        <v>199</v>
      </c>
      <c r="E74" s="351"/>
      <c r="F74" s="351"/>
      <c r="G74" s="351"/>
      <c r="H74" s="351"/>
      <c r="I74" s="351"/>
      <c r="J74" s="351"/>
      <c r="K74" s="351"/>
      <c r="L74" s="351"/>
      <c r="M74" s="225"/>
      <c r="N74" s="225"/>
      <c r="O74" s="225"/>
    </row>
    <row r="75" spans="1:16" ht="15" customHeight="1">
      <c r="B75" s="241" t="s">
        <v>170</v>
      </c>
      <c r="C75" s="241"/>
      <c r="D75" s="344" t="s">
        <v>190</v>
      </c>
      <c r="E75" s="344"/>
      <c r="F75" s="344"/>
      <c r="G75" s="344"/>
      <c r="H75" s="344"/>
      <c r="I75" s="344"/>
      <c r="J75" s="344"/>
      <c r="K75" s="344"/>
      <c r="L75" s="344"/>
    </row>
    <row r="76" spans="1:16" ht="19.5" customHeight="1">
      <c r="B76" s="241" t="s">
        <v>149</v>
      </c>
      <c r="C76" s="241"/>
      <c r="D76" s="344" t="s">
        <v>191</v>
      </c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</row>
    <row r="77" spans="1:16" ht="19.5" customHeight="1">
      <c r="B77" s="241"/>
      <c r="C77" s="241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</row>
    <row r="78" spans="1:16" ht="15" customHeight="1">
      <c r="A78" s="212" t="s">
        <v>145</v>
      </c>
      <c r="B78" s="209" t="s">
        <v>172</v>
      </c>
      <c r="C78" s="209"/>
      <c r="D78" s="226"/>
      <c r="E78" s="227"/>
    </row>
    <row r="79" spans="1:16" ht="15" customHeight="1">
      <c r="B79" s="241" t="s">
        <v>170</v>
      </c>
      <c r="C79" s="241"/>
      <c r="D79" s="350" t="s">
        <v>192</v>
      </c>
      <c r="E79" s="350" t="s">
        <v>175</v>
      </c>
      <c r="F79" s="350" t="s">
        <v>129</v>
      </c>
      <c r="G79" s="350" t="s">
        <v>126</v>
      </c>
      <c r="H79" s="350" t="s">
        <v>111</v>
      </c>
      <c r="I79" s="350" t="s">
        <v>50</v>
      </c>
      <c r="J79" s="350" t="s">
        <v>37</v>
      </c>
    </row>
    <row r="80" spans="1:16" ht="15" customHeight="1">
      <c r="A80" s="214"/>
      <c r="B80" s="281" t="s">
        <v>176</v>
      </c>
      <c r="C80" s="281"/>
      <c r="D80" s="332"/>
      <c r="E80" s="331">
        <v>40903.28739261692</v>
      </c>
      <c r="F80" s="331">
        <v>54113.496018271799</v>
      </c>
      <c r="G80" s="331">
        <v>84997.55423693746</v>
      </c>
      <c r="H80" s="331">
        <v>65895.714337822486</v>
      </c>
      <c r="I80" s="331">
        <v>25770</v>
      </c>
      <c r="J80" s="331">
        <v>17772.55054</v>
      </c>
      <c r="K80" s="214"/>
      <c r="L80" s="214"/>
      <c r="M80" s="214"/>
      <c r="N80" s="214"/>
      <c r="O80" s="214"/>
      <c r="P80" s="214"/>
    </row>
    <row r="81" spans="1:17" ht="15" customHeight="1">
      <c r="B81" s="212"/>
      <c r="C81" s="212"/>
      <c r="D81" s="229"/>
      <c r="E81" s="229"/>
      <c r="F81" s="229"/>
      <c r="G81" s="229"/>
      <c r="H81" s="229"/>
      <c r="I81" s="229"/>
      <c r="J81" s="230"/>
      <c r="K81" s="230"/>
      <c r="L81" s="230"/>
      <c r="M81" s="230"/>
      <c r="N81" s="230"/>
      <c r="O81" s="230"/>
    </row>
    <row r="82" spans="1:17" ht="15" customHeight="1">
      <c r="B82" s="212"/>
      <c r="C82" s="212"/>
      <c r="D82" s="229"/>
      <c r="E82" s="229"/>
      <c r="F82" s="229"/>
      <c r="G82" s="229"/>
      <c r="H82" s="229"/>
      <c r="I82" s="229"/>
      <c r="J82" s="230"/>
      <c r="K82" s="230"/>
      <c r="L82" s="230"/>
      <c r="M82" s="230"/>
      <c r="N82" s="230"/>
      <c r="O82" s="230"/>
    </row>
    <row r="83" spans="1:17" ht="19.5" customHeight="1">
      <c r="B83" s="241" t="s">
        <v>170</v>
      </c>
      <c r="C83" s="345"/>
      <c r="D83" s="344" t="s">
        <v>193</v>
      </c>
      <c r="E83" s="344"/>
      <c r="F83" s="344"/>
      <c r="G83" s="344"/>
      <c r="H83" s="344"/>
      <c r="I83" s="229"/>
      <c r="J83" s="230"/>
      <c r="K83" s="230"/>
      <c r="L83" s="230"/>
      <c r="M83" s="230"/>
      <c r="N83" s="230"/>
      <c r="O83" s="230"/>
    </row>
    <row r="84" spans="1:17" ht="15.75" customHeight="1">
      <c r="B84" s="241" t="s">
        <v>170</v>
      </c>
      <c r="C84" s="345"/>
      <c r="D84" s="344" t="s">
        <v>194</v>
      </c>
      <c r="E84" s="344"/>
      <c r="F84" s="344"/>
      <c r="G84" s="344"/>
      <c r="H84" s="344"/>
    </row>
    <row r="85" spans="1:17" ht="15" customHeight="1">
      <c r="B85" s="241" t="s">
        <v>170</v>
      </c>
      <c r="C85" s="241"/>
      <c r="D85" s="327" t="s">
        <v>205</v>
      </c>
      <c r="E85" s="328"/>
      <c r="F85" s="328"/>
      <c r="G85" s="328"/>
      <c r="H85" s="328"/>
    </row>
    <row r="87" spans="1:17" ht="15" customHeight="1">
      <c r="B87" s="217"/>
      <c r="C87" s="217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</row>
    <row r="88" spans="1:17" ht="16.5" customHeight="1">
      <c r="B88" s="213"/>
      <c r="C88" s="346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2"/>
      <c r="Q88" s="342"/>
    </row>
    <row r="89" spans="1:17" ht="21" customHeight="1">
      <c r="B89" s="241" t="s">
        <v>149</v>
      </c>
      <c r="C89" s="348"/>
      <c r="D89" s="349" t="s">
        <v>195</v>
      </c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</row>
    <row r="90" spans="1:17" ht="24" customHeight="1">
      <c r="C90" s="342"/>
      <c r="D90" s="349" t="s">
        <v>196</v>
      </c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</row>
    <row r="91" spans="1:17" ht="15" customHeight="1">
      <c r="B91" s="217"/>
      <c r="C91" s="217"/>
      <c r="D91" s="226"/>
      <c r="E91" s="213"/>
    </row>
    <row r="92" spans="1:17" ht="15" customHeight="1">
      <c r="B92" s="213"/>
      <c r="C92" s="213"/>
      <c r="D92" s="226"/>
      <c r="E92" s="227"/>
    </row>
    <row r="93" spans="1:17" ht="15" customHeight="1">
      <c r="B93" s="213"/>
      <c r="C93" s="213"/>
      <c r="D93" s="231"/>
    </row>
    <row r="94" spans="1:17" ht="15" customHeight="1">
      <c r="A94" s="214"/>
      <c r="B94" s="214"/>
      <c r="C94" s="214"/>
      <c r="D94" s="228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</row>
    <row r="95" spans="1:17" ht="15" customHeight="1">
      <c r="B95" s="212"/>
      <c r="C95" s="21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</row>
    <row r="97" spans="1:5" ht="15" customHeight="1">
      <c r="A97" s="212"/>
      <c r="B97" s="209"/>
      <c r="C97" s="209"/>
    </row>
    <row r="99" spans="1:5" ht="15" customHeight="1">
      <c r="B99" s="212"/>
      <c r="C99" s="212"/>
      <c r="D99" s="233"/>
    </row>
    <row r="100" spans="1:5" ht="15" customHeight="1">
      <c r="B100" s="212"/>
      <c r="C100" s="212"/>
      <c r="D100" s="233"/>
    </row>
    <row r="101" spans="1:5" ht="15" customHeight="1">
      <c r="B101" s="212"/>
      <c r="C101" s="212"/>
      <c r="D101" s="233"/>
    </row>
    <row r="103" spans="1:5" ht="15" customHeight="1">
      <c r="B103" s="234"/>
      <c r="C103" s="234"/>
      <c r="D103" s="225"/>
      <c r="E103" s="212"/>
    </row>
    <row r="105" spans="1:5" ht="15" customHeight="1">
      <c r="B105" s="235"/>
      <c r="C105" s="235"/>
      <c r="D105" s="236"/>
    </row>
    <row r="106" spans="1:5" ht="15" customHeight="1">
      <c r="B106" s="235"/>
      <c r="C106" s="235"/>
      <c r="D106" s="237"/>
    </row>
    <row r="107" spans="1:5" ht="15" customHeight="1">
      <c r="B107" s="212"/>
      <c r="C107" s="212"/>
      <c r="D107" s="238"/>
    </row>
    <row r="108" spans="1:5" ht="15" customHeight="1">
      <c r="B108" s="212"/>
      <c r="C108" s="212"/>
      <c r="D108" s="233"/>
    </row>
    <row r="109" spans="1:5" ht="15" customHeight="1">
      <c r="B109" s="212"/>
      <c r="C109" s="212"/>
      <c r="D109" s="218"/>
    </row>
    <row r="111" spans="1:5" ht="15" customHeight="1">
      <c r="A111" s="212" t="s">
        <v>145</v>
      </c>
      <c r="B111" s="209"/>
      <c r="C111" s="209"/>
    </row>
    <row r="113" spans="1:5" ht="15" customHeight="1">
      <c r="B113" s="212"/>
      <c r="C113" s="212"/>
      <c r="D113" s="233"/>
    </row>
    <row r="115" spans="1:5" ht="15" customHeight="1">
      <c r="B115" s="239"/>
      <c r="C115" s="239"/>
      <c r="D115" s="225"/>
      <c r="E115" s="212"/>
    </row>
    <row r="117" spans="1:5" ht="15" customHeight="1">
      <c r="B117" s="235"/>
      <c r="C117" s="235"/>
      <c r="D117" s="236"/>
    </row>
    <row r="118" spans="1:5" ht="15" customHeight="1">
      <c r="B118" s="235"/>
      <c r="C118" s="235"/>
      <c r="D118" s="237"/>
    </row>
    <row r="119" spans="1:5" ht="15" customHeight="1">
      <c r="B119" s="212"/>
      <c r="C119" s="212"/>
      <c r="D119" s="238"/>
    </row>
    <row r="120" spans="1:5" ht="15" customHeight="1">
      <c r="B120" s="212"/>
      <c r="C120" s="212"/>
      <c r="D120" s="218"/>
    </row>
    <row r="121" spans="1:5" ht="15" customHeight="1">
      <c r="B121" s="212"/>
      <c r="C121" s="212"/>
      <c r="D121" s="218"/>
    </row>
    <row r="122" spans="1:5" ht="15" customHeight="1">
      <c r="A122" s="212" t="s">
        <v>145</v>
      </c>
      <c r="B122" s="209"/>
      <c r="C122" s="209"/>
    </row>
    <row r="124" spans="1:5" ht="15" customHeight="1">
      <c r="B124" s="212"/>
      <c r="C124" s="212"/>
      <c r="D124" s="218"/>
    </row>
  </sheetData>
  <protectedRanges>
    <protectedRange sqref="G35:P35" name="Range1" securityDescriptor="O:WDG:WDD:(A;;CC;;;S-1-5-21-1876172974-742851678-1849977318-126664)(A;;CC;;;S-1-5-21-1876172974-742851678-1849977318-17411)(A;;CC;;;S-1-5-21-1876172974-742851678-1849977318-130404)(A;;CC;;;S-1-5-21-1876172974-742851678-1849977318-137880)(A;;CC;;;S-1-5-21-1876172974-742851678-1849977318-60683)(A;;CC;;;S-1-5-21-1876172974-742851678-1849977318-33978)(A;;CC;;;S-1-5-21-1876172974-742851678-1849977318-8288)"/>
  </protectedRange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A-2 (PAGE 1) </vt:lpstr>
      <vt:lpstr>A-2 (PAGE 2)</vt:lpstr>
      <vt:lpstr>A-3 (PAGE 1)</vt:lpstr>
      <vt:lpstr>A-3 (PAGE 2)</vt:lpstr>
      <vt:lpstr>A-4-GAS (PAGE 1)</vt:lpstr>
      <vt:lpstr>A-4-ELECTRIC (PAGE 2)</vt:lpstr>
      <vt:lpstr>A-5-GAS (PAGE 1-2)</vt:lpstr>
      <vt:lpstr>A-5-ELECTRIC (PAGE 3-4)</vt:lpstr>
      <vt:lpstr>INPUTS</vt:lpstr>
      <vt:lpstr>Sheet1</vt:lpstr>
      <vt:lpstr>'A-2 (PAGE 1) '!Print_Area</vt:lpstr>
      <vt:lpstr>'A-2 (PAGE 2)'!Print_Area</vt:lpstr>
      <vt:lpstr>'A-3 (PAGE 1)'!Print_Area</vt:lpstr>
      <vt:lpstr>'A-3 (PAGE 2)'!Print_Area</vt:lpstr>
      <vt:lpstr>'A-4-ELECTRIC (PAGE 2)'!Print_Area</vt:lpstr>
      <vt:lpstr>'A-4-GAS (PAGE 1)'!Print_Area</vt:lpstr>
      <vt:lpstr>'A-5-GAS (PAGE 1-2)'!Print_Area</vt:lpstr>
      <vt:lpstr>INPUTS!Print_Area</vt:lpstr>
      <vt:lpstr>'A-4-ELECTRIC (PAGE 2)'!Print_Titles</vt:lpstr>
      <vt:lpstr>'A-4-GAS (PAGE 1)'!Print_Titles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Corcoran, James</dc:creator>
  <cp:lastModifiedBy>Tracy Morgan</cp:lastModifiedBy>
  <cp:lastPrinted>2017-12-15T17:34:59Z</cp:lastPrinted>
  <dcterms:created xsi:type="dcterms:W3CDTF">2007-03-27T12:18:33Z</dcterms:created>
  <dcterms:modified xsi:type="dcterms:W3CDTF">2018-01-30T16:52:24Z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