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pgtyson/Library/Mobile Documents/com~apple~CloudDocs/GA Cloud/Solar/SREC Successor Program/"/>
    </mc:Choice>
  </mc:AlternateContent>
  <xr:revisionPtr revIDLastSave="0" documentId="13_ncr:1_{899B66A4-D8FC-8649-98CF-1DC1D7CDE982}" xr6:coauthVersionLast="45" xr6:coauthVersionMax="45" xr10:uidLastSave="{00000000-0000-0000-0000-000000000000}"/>
  <bookViews>
    <workbookView xWindow="0" yWindow="5420" windowWidth="28140" windowHeight="17420" xr2:uid="{00000000-000D-0000-FFFF-FFFF00000000}"/>
  </bookViews>
  <sheets>
    <sheet name="Cover Page &amp; Footnotes" sheetId="5" r:id="rId1"/>
    <sheet name="Cost Cap Tool" sheetId="7" r:id="rId2"/>
    <sheet name="Incentive Detail" sheetId="11" r:id="rId3"/>
    <sheet name="Convert Cadmus to Cost Cap" sheetId="12" r:id="rId4"/>
    <sheet name="EIA Escalation" sheetId="8" r:id="rId5"/>
    <sheet name="PPT Formatting" sheetId="9" r:id="rId6"/>
  </sheets>
  <externalReferences>
    <externalReference r:id="rId7"/>
  </externalReferences>
  <definedNames>
    <definedName name="_xlnm._FilterDatabase" localSheetId="1" hidden="1">'Cost Cap Tool'!$A$5:$AB$8</definedName>
    <definedName name="PPT_Tbl">'PPT Formatting'!$A$66:$N$82</definedName>
  </definedNames>
  <calcPr calcId="191029"/>
  <pivotCaches>
    <pivotCache cacheId="38" r:id="rId8"/>
  </pivotCache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4" i="7" l="1"/>
  <c r="AH23" i="7"/>
  <c r="AH24" i="7" s="1"/>
  <c r="AH25" i="7" s="1"/>
  <c r="AH26" i="7" s="1"/>
  <c r="AH27" i="7" s="1"/>
  <c r="AH28" i="7" s="1"/>
  <c r="AH29" i="7" s="1"/>
  <c r="AH30" i="7" s="1"/>
  <c r="AH31" i="7" s="1"/>
  <c r="AH22" i="7"/>
  <c r="AR10" i="7" l="1"/>
  <c r="AR11" i="7"/>
  <c r="AD22" i="7"/>
  <c r="AD23" i="7" s="1"/>
  <c r="AD24" i="7" s="1"/>
  <c r="AD25" i="7" s="1"/>
  <c r="AD26" i="7" s="1"/>
  <c r="AD27" i="7" s="1"/>
  <c r="AD28" i="7" s="1"/>
  <c r="AD29" i="7" s="1"/>
  <c r="AD30" i="7" s="1"/>
  <c r="AD31" i="7" s="1"/>
  <c r="P24" i="7"/>
  <c r="P25" i="7" s="1"/>
  <c r="P26" i="7" s="1"/>
  <c r="P27" i="7" s="1"/>
  <c r="P28" i="7" s="1"/>
  <c r="P29" i="7" s="1"/>
  <c r="P30" i="7" s="1"/>
  <c r="P31" i="7" s="1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K22" i="12" l="1"/>
  <c r="J22" i="12"/>
  <c r="K21" i="12"/>
  <c r="J21" i="12"/>
  <c r="K20" i="12"/>
  <c r="J20" i="12"/>
  <c r="K19" i="12"/>
  <c r="J19" i="12"/>
  <c r="K18" i="12"/>
  <c r="J18" i="12"/>
  <c r="K17" i="12"/>
  <c r="J17" i="12"/>
  <c r="K16" i="12"/>
  <c r="J16" i="12"/>
  <c r="K15" i="12"/>
  <c r="J15" i="12"/>
  <c r="K14" i="12"/>
  <c r="J14" i="12"/>
  <c r="K13" i="12"/>
  <c r="J13" i="12"/>
  <c r="K12" i="12"/>
  <c r="J12" i="12"/>
  <c r="K11" i="12"/>
  <c r="J11" i="12"/>
  <c r="K10" i="12"/>
  <c r="J10" i="12"/>
  <c r="K9" i="12"/>
  <c r="J9" i="12"/>
  <c r="K8" i="12"/>
  <c r="J8" i="12"/>
  <c r="K7" i="12"/>
  <c r="J7" i="12"/>
  <c r="K6" i="12"/>
  <c r="J6" i="12"/>
  <c r="K5" i="12"/>
  <c r="J5" i="12"/>
  <c r="K4" i="12"/>
  <c r="J4" i="12"/>
  <c r="P61" i="7"/>
  <c r="P62" i="7"/>
  <c r="I74" i="7"/>
  <c r="J75" i="7"/>
  <c r="G15" i="11"/>
  <c r="G13" i="11"/>
  <c r="G12" i="11"/>
  <c r="G11" i="11"/>
  <c r="G10" i="11"/>
  <c r="G9" i="11"/>
  <c r="G8" i="11"/>
  <c r="E8" i="11" s="1"/>
  <c r="C37" i="12"/>
  <c r="C35" i="12"/>
  <c r="C34" i="12"/>
  <c r="C33" i="12"/>
  <c r="C32" i="12"/>
  <c r="C31" i="12"/>
  <c r="C30" i="12"/>
  <c r="G13" i="12"/>
  <c r="G7" i="12"/>
  <c r="D27" i="12"/>
  <c r="G4" i="12" s="1"/>
  <c r="D26" i="12"/>
  <c r="G21" i="12" s="1"/>
  <c r="C36" i="12" s="1"/>
  <c r="G14" i="11" s="1"/>
  <c r="C40" i="12" l="1"/>
  <c r="G18" i="11" s="1"/>
  <c r="H7" i="12"/>
  <c r="C39" i="12" s="1"/>
  <c r="G17" i="11" s="1"/>
  <c r="G6" i="12"/>
  <c r="C41" i="12" s="1"/>
  <c r="G19" i="11" s="1"/>
  <c r="G5" i="12"/>
  <c r="C38" i="12" s="1"/>
  <c r="G16" i="11" s="1"/>
  <c r="K100" i="7" l="1"/>
  <c r="S14" i="11" l="1"/>
  <c r="S13" i="11"/>
  <c r="S12" i="11"/>
  <c r="S11" i="11"/>
  <c r="S8" i="11"/>
  <c r="H14" i="11"/>
  <c r="E14" i="11" s="1"/>
  <c r="B30" i="11"/>
  <c r="B29" i="11"/>
  <c r="G16" i="7" l="1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G15" i="7" l="1"/>
  <c r="D47" i="8" l="1"/>
  <c r="C47" i="8"/>
  <c r="C46" i="8"/>
  <c r="N9" i="11"/>
  <c r="L9" i="11" s="1"/>
  <c r="N8" i="11"/>
  <c r="L8" i="11" s="1"/>
  <c r="N11" i="11"/>
  <c r="L11" i="11" s="1"/>
  <c r="N15" i="11"/>
  <c r="L15" i="11" s="1"/>
  <c r="N16" i="11"/>
  <c r="L16" i="11" s="1"/>
  <c r="N14" i="11"/>
  <c r="L14" i="11" s="1"/>
  <c r="N18" i="11"/>
  <c r="L18" i="11" s="1"/>
  <c r="J19" i="11"/>
  <c r="J18" i="11"/>
  <c r="J17" i="11"/>
  <c r="J16" i="11"/>
  <c r="J15" i="11"/>
  <c r="J14" i="11"/>
  <c r="J13" i="11"/>
  <c r="J12" i="11"/>
  <c r="J11" i="11"/>
  <c r="J10" i="11"/>
  <c r="J9" i="11"/>
  <c r="J8" i="11"/>
  <c r="F30" i="7"/>
  <c r="F29" i="7"/>
  <c r="F28" i="7"/>
  <c r="F27" i="7"/>
  <c r="F26" i="7"/>
  <c r="F1" i="7"/>
  <c r="F17" i="7"/>
  <c r="F18" i="7" s="1"/>
  <c r="F19" i="7" s="1"/>
  <c r="F20" i="7" s="1"/>
  <c r="F21" i="7" s="1"/>
  <c r="F22" i="7" s="1"/>
  <c r="F23" i="7" s="1"/>
  <c r="F24" i="7" s="1"/>
  <c r="F25" i="7" s="1"/>
  <c r="F16" i="7"/>
  <c r="M94" i="7"/>
  <c r="H18" i="11"/>
  <c r="E18" i="11" s="1"/>
  <c r="F15" i="11"/>
  <c r="H11" i="11"/>
  <c r="E11" i="11" s="1"/>
  <c r="H9" i="11"/>
  <c r="E9" i="11" s="1"/>
  <c r="H8" i="11"/>
  <c r="S9" i="11" l="1"/>
  <c r="S10" i="11"/>
  <c r="M72" i="7"/>
  <c r="M73" i="7" s="1"/>
  <c r="M74" i="7" s="1"/>
  <c r="M75" i="7" s="1"/>
  <c r="M76" i="7" s="1"/>
  <c r="M77" i="7" s="1"/>
  <c r="M78" i="7" s="1"/>
  <c r="M79" i="7" s="1"/>
  <c r="M80" i="7" s="1"/>
  <c r="M81" i="7" s="1"/>
  <c r="M82" i="7" s="1"/>
  <c r="M83" i="7" s="1"/>
  <c r="M84" i="7" s="1"/>
  <c r="M85" i="7" s="1"/>
  <c r="M86" i="7" s="1"/>
  <c r="M87" i="7" s="1"/>
  <c r="M88" i="7" s="1"/>
  <c r="M89" i="7" s="1"/>
  <c r="L72" i="7"/>
  <c r="L73" i="7" s="1"/>
  <c r="L74" i="7" s="1"/>
  <c r="L75" i="7" s="1"/>
  <c r="L76" i="7" s="1"/>
  <c r="L77" i="7" s="1"/>
  <c r="L78" i="7" s="1"/>
  <c r="L79" i="7" s="1"/>
  <c r="L80" i="7" s="1"/>
  <c r="L81" i="7" s="1"/>
  <c r="L82" i="7" s="1"/>
  <c r="L83" i="7" s="1"/>
  <c r="L84" i="7" s="1"/>
  <c r="L85" i="7" s="1"/>
  <c r="L86" i="7" s="1"/>
  <c r="L87" i="7" s="1"/>
  <c r="L88" i="7" s="1"/>
  <c r="L89" i="7" s="1"/>
  <c r="J76" i="7" l="1"/>
  <c r="J77" i="7" s="1"/>
  <c r="J78" i="7" s="1"/>
  <c r="J79" i="7" s="1"/>
  <c r="J80" i="7" s="1"/>
  <c r="J81" i="7" s="1"/>
  <c r="J82" i="7" s="1"/>
  <c r="J83" i="7" s="1"/>
  <c r="J84" i="7" s="1"/>
  <c r="J85" i="7" s="1"/>
  <c r="J86" i="7" s="1"/>
  <c r="J87" i="7" s="1"/>
  <c r="J88" i="7" s="1"/>
  <c r="J89" i="7" s="1"/>
  <c r="I75" i="7"/>
  <c r="I76" i="7" s="1"/>
  <c r="I77" i="7" s="1"/>
  <c r="I78" i="7" s="1"/>
  <c r="I79" i="7" s="1"/>
  <c r="I80" i="7" s="1"/>
  <c r="I81" i="7" s="1"/>
  <c r="I82" i="7" s="1"/>
  <c r="I83" i="7" s="1"/>
  <c r="I84" i="7" s="1"/>
  <c r="I85" i="7" s="1"/>
  <c r="I86" i="7" s="1"/>
  <c r="I87" i="7" s="1"/>
  <c r="I88" i="7" s="1"/>
  <c r="I89" i="7" s="1"/>
  <c r="G71" i="7"/>
  <c r="F71" i="7"/>
  <c r="E71" i="7"/>
  <c r="D71" i="7"/>
  <c r="C71" i="7"/>
  <c r="AB59" i="7"/>
  <c r="AB58" i="7"/>
  <c r="AB57" i="7"/>
  <c r="AB56" i="7"/>
  <c r="AB55" i="7"/>
  <c r="AB54" i="7"/>
  <c r="AB53" i="7"/>
  <c r="AB52" i="7"/>
  <c r="AB51" i="7"/>
  <c r="AB50" i="7"/>
  <c r="AB49" i="7"/>
  <c r="AB48" i="7"/>
  <c r="AB47" i="7"/>
  <c r="AB46" i="7"/>
  <c r="AB45" i="7"/>
  <c r="AB44" i="7"/>
  <c r="AB43" i="7"/>
  <c r="AB42" i="7"/>
  <c r="AB41" i="7"/>
  <c r="AB40" i="7"/>
  <c r="AB39" i="7"/>
  <c r="AB38" i="7"/>
  <c r="Z2" i="7"/>
  <c r="Z1" i="7"/>
  <c r="H20" i="11"/>
  <c r="I20" i="11"/>
  <c r="G91" i="7" l="1"/>
  <c r="G93" i="7" s="1"/>
  <c r="N89" i="9" l="1"/>
  <c r="M89" i="9"/>
  <c r="L89" i="9"/>
  <c r="K89" i="9"/>
  <c r="J89" i="9"/>
  <c r="I89" i="9"/>
  <c r="H89" i="9"/>
  <c r="G89" i="9"/>
  <c r="F89" i="9"/>
  <c r="E89" i="9"/>
  <c r="D89" i="9"/>
  <c r="B78" i="7"/>
  <c r="B81" i="7" s="1"/>
  <c r="B84" i="7" s="1"/>
  <c r="B87" i="7" s="1"/>
  <c r="B77" i="7"/>
  <c r="B80" i="7" s="1"/>
  <c r="B83" i="7" s="1"/>
  <c r="B86" i="7" s="1"/>
  <c r="B89" i="7" s="1"/>
  <c r="B76" i="7"/>
  <c r="B79" i="7" s="1"/>
  <c r="B82" i="7" s="1"/>
  <c r="B85" i="7" s="1"/>
  <c r="B88" i="7" s="1"/>
  <c r="B75" i="7"/>
  <c r="AK40" i="7"/>
  <c r="AA10" i="7" l="1"/>
  <c r="AC31" i="7"/>
  <c r="AC30" i="7"/>
  <c r="AC29" i="7"/>
  <c r="AC28" i="7"/>
  <c r="AC27" i="7"/>
  <c r="AC26" i="7"/>
  <c r="AC25" i="7"/>
  <c r="AC24" i="7"/>
  <c r="AC23" i="7"/>
  <c r="G102" i="7"/>
  <c r="E102" i="7"/>
  <c r="F102" i="7"/>
  <c r="D102" i="7"/>
  <c r="C102" i="7"/>
  <c r="H99" i="7"/>
  <c r="H101" i="7"/>
  <c r="H98" i="7"/>
  <c r="H102" i="7" l="1"/>
  <c r="S7" i="9"/>
  <c r="B55" i="9" s="1"/>
  <c r="L29" i="9"/>
  <c r="A29" i="9"/>
  <c r="W36" i="9" s="1"/>
  <c r="L28" i="9"/>
  <c r="A28" i="9"/>
  <c r="V36" i="9" s="1"/>
  <c r="L27" i="9"/>
  <c r="A27" i="9"/>
  <c r="U36" i="9" s="1"/>
  <c r="L26" i="9"/>
  <c r="A26" i="9"/>
  <c r="T36" i="9" s="1"/>
  <c r="L25" i="9"/>
  <c r="A25" i="9"/>
  <c r="S36" i="9" s="1"/>
  <c r="L24" i="9"/>
  <c r="A24" i="9"/>
  <c r="R36" i="9" s="1"/>
  <c r="L23" i="9"/>
  <c r="A23" i="9"/>
  <c r="Q36" i="9" s="1"/>
  <c r="U22" i="9"/>
  <c r="L22" i="9"/>
  <c r="A22" i="9"/>
  <c r="P36" i="9" s="1"/>
  <c r="L21" i="9"/>
  <c r="A21" i="9"/>
  <c r="O36" i="9" s="1"/>
  <c r="L20" i="9"/>
  <c r="A20" i="9"/>
  <c r="N36" i="9" s="1"/>
  <c r="L19" i="9"/>
  <c r="A19" i="9"/>
  <c r="M36" i="9" s="1"/>
  <c r="L18" i="9"/>
  <c r="A18" i="9"/>
  <c r="L36" i="9" s="1"/>
  <c r="L17" i="9"/>
  <c r="D17" i="9"/>
  <c r="K39" i="9" s="1"/>
  <c r="L68" i="9" s="1"/>
  <c r="A17" i="9"/>
  <c r="K36" i="9" s="1"/>
  <c r="L16" i="9"/>
  <c r="A16" i="9"/>
  <c r="J36" i="9" s="1"/>
  <c r="L15" i="9"/>
  <c r="A15" i="9"/>
  <c r="I36" i="9" s="1"/>
  <c r="U14" i="9"/>
  <c r="L14" i="9"/>
  <c r="A14" i="9"/>
  <c r="H36" i="9" s="1"/>
  <c r="L13" i="9"/>
  <c r="A13" i="9"/>
  <c r="G36" i="9" s="1"/>
  <c r="L12" i="9"/>
  <c r="A12" i="9"/>
  <c r="F36" i="9" s="1"/>
  <c r="L11" i="9"/>
  <c r="A11" i="9"/>
  <c r="E36" i="9" s="1"/>
  <c r="L10" i="9"/>
  <c r="E10" i="9"/>
  <c r="D40" i="9" s="1"/>
  <c r="E69" i="9" s="1"/>
  <c r="A10" i="9"/>
  <c r="D36" i="9" s="1"/>
  <c r="L9" i="9"/>
  <c r="E9" i="9"/>
  <c r="C40" i="9" s="1"/>
  <c r="D69" i="9" s="1"/>
  <c r="A9" i="9"/>
  <c r="C36" i="9" s="1"/>
  <c r="L8" i="9"/>
  <c r="E8" i="9"/>
  <c r="A8" i="9"/>
  <c r="Y7" i="9"/>
  <c r="B61" i="9" s="1"/>
  <c r="X7" i="9"/>
  <c r="B60" i="9" s="1"/>
  <c r="W7" i="9"/>
  <c r="B59" i="9" s="1"/>
  <c r="C91" i="9" s="1"/>
  <c r="V7" i="9"/>
  <c r="B58" i="9" s="1"/>
  <c r="U7" i="9"/>
  <c r="T7" i="9"/>
  <c r="B56" i="9" s="1"/>
  <c r="R7" i="9"/>
  <c r="B54" i="9" s="1"/>
  <c r="Q7" i="9"/>
  <c r="B53" i="9" s="1"/>
  <c r="P7" i="9"/>
  <c r="B52" i="9" s="1"/>
  <c r="O7" i="9"/>
  <c r="B51" i="9" s="1"/>
  <c r="N7" i="9"/>
  <c r="B50" i="9" s="1"/>
  <c r="M7" i="9"/>
  <c r="B48" i="9" s="1"/>
  <c r="L7" i="9"/>
  <c r="K7" i="9"/>
  <c r="B47" i="9" s="1"/>
  <c r="J7" i="9"/>
  <c r="B46" i="9" s="1"/>
  <c r="I7" i="9"/>
  <c r="B45" i="9" s="1"/>
  <c r="H7" i="9"/>
  <c r="B44" i="9" s="1"/>
  <c r="G7" i="9"/>
  <c r="B43" i="9" s="1"/>
  <c r="F7" i="9"/>
  <c r="B41" i="9" s="1"/>
  <c r="E7" i="9"/>
  <c r="B40" i="9" s="1"/>
  <c r="D7" i="9"/>
  <c r="B39" i="9" s="1"/>
  <c r="C7" i="9"/>
  <c r="B38" i="9" s="1"/>
  <c r="B7" i="9"/>
  <c r="B37" i="9" s="1"/>
  <c r="A7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B6" i="9"/>
  <c r="BD10" i="7"/>
  <c r="S8" i="9" s="1"/>
  <c r="Q95" i="7"/>
  <c r="P95" i="7"/>
  <c r="P96" i="7" s="1"/>
  <c r="K74" i="7"/>
  <c r="AO25" i="7"/>
  <c r="D23" i="9" s="1"/>
  <c r="Q39" i="9" s="1"/>
  <c r="AO24" i="7"/>
  <c r="D22" i="9" s="1"/>
  <c r="P39" i="9" s="1"/>
  <c r="AO23" i="7"/>
  <c r="D21" i="9" s="1"/>
  <c r="O39" i="9" s="1"/>
  <c r="AO22" i="7"/>
  <c r="D20" i="9" s="1"/>
  <c r="N39" i="9" s="1"/>
  <c r="AO21" i="7"/>
  <c r="D19" i="9" s="1"/>
  <c r="M39" i="9" s="1"/>
  <c r="N68" i="9" s="1"/>
  <c r="AO20" i="7"/>
  <c r="D18" i="9" s="1"/>
  <c r="L39" i="9" s="1"/>
  <c r="M68" i="9" s="1"/>
  <c r="AO19" i="7"/>
  <c r="AO18" i="7"/>
  <c r="D16" i="9" s="1"/>
  <c r="J39" i="9" s="1"/>
  <c r="K68" i="9" s="1"/>
  <c r="AO17" i="7"/>
  <c r="D15" i="9" s="1"/>
  <c r="I39" i="9" s="1"/>
  <c r="J68" i="9" s="1"/>
  <c r="AO16" i="7"/>
  <c r="D14" i="9" s="1"/>
  <c r="H39" i="9" s="1"/>
  <c r="I68" i="9" s="1"/>
  <c r="AO15" i="7"/>
  <c r="D13" i="9" s="1"/>
  <c r="G39" i="9" s="1"/>
  <c r="H68" i="9" s="1"/>
  <c r="AO14" i="7"/>
  <c r="D12" i="9" s="1"/>
  <c r="F39" i="9" s="1"/>
  <c r="G68" i="9" s="1"/>
  <c r="AM14" i="7"/>
  <c r="B12" i="9" s="1"/>
  <c r="F37" i="9" s="1"/>
  <c r="G66" i="9" s="1"/>
  <c r="AO13" i="7"/>
  <c r="D11" i="9" s="1"/>
  <c r="E39" i="9" s="1"/>
  <c r="F68" i="9" s="1"/>
  <c r="AM13" i="7"/>
  <c r="B11" i="9" s="1"/>
  <c r="E37" i="9" s="1"/>
  <c r="F66" i="9" s="1"/>
  <c r="AO12" i="7"/>
  <c r="D10" i="9" s="1"/>
  <c r="D39" i="9" s="1"/>
  <c r="E68" i="9" s="1"/>
  <c r="AM12" i="7"/>
  <c r="B10" i="9" s="1"/>
  <c r="D37" i="9" s="1"/>
  <c r="E66" i="9" s="1"/>
  <c r="AO11" i="7"/>
  <c r="D9" i="9" s="1"/>
  <c r="C39" i="9" s="1"/>
  <c r="D68" i="9" s="1"/>
  <c r="AM11" i="7"/>
  <c r="B9" i="9" s="1"/>
  <c r="C37" i="9" s="1"/>
  <c r="D66" i="9" s="1"/>
  <c r="AO10" i="7"/>
  <c r="D8" i="9" s="1"/>
  <c r="AM10" i="7"/>
  <c r="Q3" i="7"/>
  <c r="AM32" i="7"/>
  <c r="BF10" i="7"/>
  <c r="U8" i="9" s="1"/>
  <c r="BF11" i="7"/>
  <c r="U9" i="9" s="1"/>
  <c r="BF12" i="7"/>
  <c r="U10" i="9" s="1"/>
  <c r="BF13" i="7"/>
  <c r="U11" i="9" s="1"/>
  <c r="BF14" i="7"/>
  <c r="U12" i="9" s="1"/>
  <c r="BF15" i="7"/>
  <c r="U13" i="9" s="1"/>
  <c r="BF16" i="7"/>
  <c r="BF17" i="7"/>
  <c r="U15" i="9" s="1"/>
  <c r="BF18" i="7"/>
  <c r="U16" i="9" s="1"/>
  <c r="BF19" i="7"/>
  <c r="U17" i="9" s="1"/>
  <c r="BF20" i="7"/>
  <c r="U18" i="9" s="1"/>
  <c r="BF21" i="7"/>
  <c r="U19" i="9" s="1"/>
  <c r="BF22" i="7"/>
  <c r="U20" i="9" s="1"/>
  <c r="BF23" i="7"/>
  <c r="U21" i="9" s="1"/>
  <c r="BF24" i="7"/>
  <c r="BF25" i="7"/>
  <c r="U23" i="9" s="1"/>
  <c r="BF26" i="7"/>
  <c r="U24" i="9" s="1"/>
  <c r="BF27" i="7"/>
  <c r="U25" i="9" s="1"/>
  <c r="BF28" i="7"/>
  <c r="U26" i="9" s="1"/>
  <c r="BF29" i="7"/>
  <c r="U27" i="9" s="1"/>
  <c r="BF30" i="7"/>
  <c r="U28" i="9" s="1"/>
  <c r="BF31" i="7"/>
  <c r="U29" i="9" s="1"/>
  <c r="AA11" i="7"/>
  <c r="AC66" i="7"/>
  <c r="L43" i="7"/>
  <c r="M43" i="7" s="1"/>
  <c r="C25" i="7"/>
  <c r="AD39" i="7"/>
  <c r="AD40" i="7" s="1"/>
  <c r="AD41" i="7" s="1"/>
  <c r="AD42" i="7" s="1"/>
  <c r="AD43" i="7" s="1"/>
  <c r="AD44" i="7" s="1"/>
  <c r="AD45" i="7" s="1"/>
  <c r="AD46" i="7" s="1"/>
  <c r="AD47" i="7" s="1"/>
  <c r="AD48" i="7" s="1"/>
  <c r="AD49" i="7" s="1"/>
  <c r="AD50" i="7" s="1"/>
  <c r="AD51" i="7" s="1"/>
  <c r="AD52" i="7" s="1"/>
  <c r="AD53" i="7" s="1"/>
  <c r="AD54" i="7" s="1"/>
  <c r="AD55" i="7" s="1"/>
  <c r="AD56" i="7" s="1"/>
  <c r="AD57" i="7" s="1"/>
  <c r="AD58" i="7" s="1"/>
  <c r="AD59" i="7" s="1"/>
  <c r="AG11" i="7"/>
  <c r="AU11" i="7" s="1"/>
  <c r="J9" i="9" s="1"/>
  <c r="C46" i="9" s="1"/>
  <c r="D74" i="9" s="1"/>
  <c r="AF22" i="7"/>
  <c r="AF23" i="7" s="1"/>
  <c r="AF10" i="7"/>
  <c r="AG10" i="7" s="1"/>
  <c r="AU10" i="7" s="1"/>
  <c r="J8" i="9" s="1"/>
  <c r="K75" i="7" l="1"/>
  <c r="K76" i="7" s="1"/>
  <c r="K77" i="7" s="1"/>
  <c r="K78" i="7" s="1"/>
  <c r="K79" i="7" s="1"/>
  <c r="K80" i="7" s="1"/>
  <c r="K81" i="7" s="1"/>
  <c r="K82" i="7" s="1"/>
  <c r="K83" i="7" s="1"/>
  <c r="K84" i="7" s="1"/>
  <c r="K85" i="7" s="1"/>
  <c r="K86" i="7" s="1"/>
  <c r="K87" i="7" s="1"/>
  <c r="K88" i="7" s="1"/>
  <c r="K89" i="7" s="1"/>
  <c r="M95" i="7" s="1"/>
  <c r="M96" i="7" s="1"/>
  <c r="U96" i="7"/>
  <c r="Q96" i="7"/>
  <c r="R96" i="7" s="1"/>
  <c r="P97" i="7"/>
  <c r="P98" i="7" s="1"/>
  <c r="Q98" i="7" s="1"/>
  <c r="R98" i="7" s="1"/>
  <c r="M100" i="7"/>
  <c r="R95" i="7"/>
  <c r="U95" i="7"/>
  <c r="B8" i="9"/>
  <c r="U98" i="7"/>
  <c r="AF24" i="7"/>
  <c r="M90" i="7" l="1"/>
  <c r="K94" i="7"/>
  <c r="K96" i="7" s="1"/>
  <c r="P99" i="7"/>
  <c r="U97" i="7"/>
  <c r="Q97" i="7"/>
  <c r="R97" i="7" s="1"/>
  <c r="Q99" i="7"/>
  <c r="R99" i="7" s="1"/>
  <c r="P100" i="7"/>
  <c r="U99" i="7"/>
  <c r="AF25" i="7"/>
  <c r="J13" i="7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Q100" i="7" l="1"/>
  <c r="R100" i="7" s="1"/>
  <c r="P101" i="7"/>
  <c r="U100" i="7"/>
  <c r="AF26" i="7"/>
  <c r="Q101" i="7" l="1"/>
  <c r="R101" i="7" s="1"/>
  <c r="P102" i="7"/>
  <c r="U101" i="7"/>
  <c r="AF27" i="7"/>
  <c r="Q102" i="7" l="1"/>
  <c r="R102" i="7"/>
  <c r="U102" i="7"/>
  <c r="P103" i="7"/>
  <c r="AF28" i="7"/>
  <c r="Q103" i="7" l="1"/>
  <c r="R103" i="7"/>
  <c r="U103" i="7"/>
  <c r="P104" i="7"/>
  <c r="AF29" i="7"/>
  <c r="Q104" i="7" l="1"/>
  <c r="R104" i="7"/>
  <c r="U104" i="7"/>
  <c r="P105" i="7"/>
  <c r="AF30" i="7"/>
  <c r="Q105" i="7" l="1"/>
  <c r="R105" i="7" s="1"/>
  <c r="P106" i="7"/>
  <c r="U105" i="7"/>
  <c r="AF31" i="7"/>
  <c r="Q106" i="7" l="1"/>
  <c r="R106" i="7" s="1"/>
  <c r="U106" i="7"/>
  <c r="P107" i="7"/>
  <c r="Q107" i="7" l="1"/>
  <c r="R107" i="7"/>
  <c r="P108" i="7"/>
  <c r="U107" i="7"/>
  <c r="Q108" i="7" l="1"/>
  <c r="R108" i="7"/>
  <c r="U108" i="7"/>
  <c r="P109" i="7"/>
  <c r="Q109" i="7" l="1"/>
  <c r="R109" i="7" s="1"/>
  <c r="P110" i="7"/>
  <c r="U109" i="7"/>
  <c r="Q110" i="7" l="1"/>
  <c r="R110" i="7"/>
  <c r="U110" i="7"/>
  <c r="P111" i="7"/>
  <c r="Q111" i="7" l="1"/>
  <c r="R111" i="7" s="1"/>
  <c r="P112" i="7"/>
  <c r="U111" i="7"/>
  <c r="Q112" i="7" l="1"/>
  <c r="R112" i="7" s="1"/>
  <c r="U112" i="7"/>
  <c r="P113" i="7"/>
  <c r="Q113" i="7" l="1"/>
  <c r="R113" i="7" s="1"/>
  <c r="P114" i="7"/>
  <c r="U113" i="7"/>
  <c r="Q114" i="7" l="1"/>
  <c r="R114" i="7" s="1"/>
  <c r="U114" i="7"/>
  <c r="P115" i="7"/>
  <c r="Q115" i="7" l="1"/>
  <c r="R115" i="7"/>
  <c r="P116" i="7"/>
  <c r="U115" i="7"/>
  <c r="U116" i="7" l="1"/>
  <c r="Q116" i="7"/>
  <c r="R116" i="7" s="1"/>
  <c r="AA59" i="7" l="1"/>
  <c r="AA58" i="7"/>
  <c r="AA57" i="7"/>
  <c r="AA56" i="7"/>
  <c r="AA55" i="7"/>
  <c r="AA54" i="7"/>
  <c r="AA53" i="7"/>
  <c r="AA52" i="7"/>
  <c r="AA51" i="7"/>
  <c r="AA50" i="7"/>
  <c r="AA49" i="7"/>
  <c r="AA48" i="7"/>
  <c r="AA47" i="7"/>
  <c r="AA46" i="7"/>
  <c r="AA45" i="7"/>
  <c r="AA44" i="7"/>
  <c r="AA43" i="7"/>
  <c r="AA42" i="7"/>
  <c r="AA41" i="7"/>
  <c r="AA40" i="7"/>
  <c r="D17" i="8"/>
  <c r="E17" i="8" s="1"/>
  <c r="D18" i="8"/>
  <c r="E18" i="8"/>
  <c r="D19" i="8"/>
  <c r="E19" i="8"/>
  <c r="D20" i="8"/>
  <c r="E20" i="8"/>
  <c r="D21" i="8"/>
  <c r="E21" i="8" s="1"/>
  <c r="D22" i="8"/>
  <c r="E22" i="8"/>
  <c r="D23" i="8"/>
  <c r="E23" i="8"/>
  <c r="D24" i="8"/>
  <c r="E24" i="8"/>
  <c r="D25" i="8"/>
  <c r="E25" i="8" s="1"/>
  <c r="D26" i="8"/>
  <c r="E26" i="8"/>
  <c r="D27" i="8"/>
  <c r="E27" i="8"/>
  <c r="D28" i="8"/>
  <c r="E28" i="8"/>
  <c r="D29" i="8"/>
  <c r="E29" i="8" s="1"/>
  <c r="D30" i="8"/>
  <c r="E30" i="8"/>
  <c r="D31" i="8"/>
  <c r="E31" i="8"/>
  <c r="D32" i="8"/>
  <c r="E32" i="8"/>
  <c r="D33" i="8"/>
  <c r="E33" i="8" s="1"/>
  <c r="D34" i="8"/>
  <c r="E34" i="8"/>
  <c r="D35" i="8"/>
  <c r="E35" i="8"/>
  <c r="D36" i="8"/>
  <c r="E36" i="8"/>
  <c r="D37" i="8"/>
  <c r="E37" i="8" s="1"/>
  <c r="D38" i="8"/>
  <c r="E38" i="8"/>
  <c r="D39" i="8"/>
  <c r="E39" i="8"/>
  <c r="D40" i="8"/>
  <c r="E40" i="8"/>
  <c r="D41" i="8"/>
  <c r="E41" i="8" s="1"/>
  <c r="D42" i="8"/>
  <c r="E42" i="8"/>
  <c r="D43" i="8"/>
  <c r="E43" i="8" s="1"/>
  <c r="D44" i="8"/>
  <c r="E44" i="8" s="1"/>
  <c r="D15" i="8"/>
  <c r="E16" i="8" s="1"/>
  <c r="D16" i="8"/>
  <c r="BB12" i="7" l="1"/>
  <c r="Q10" i="9" s="1"/>
  <c r="D53" i="9" s="1"/>
  <c r="BB13" i="7"/>
  <c r="Q11" i="9" s="1"/>
  <c r="E53" i="9" s="1"/>
  <c r="BB14" i="7"/>
  <c r="Q12" i="9" s="1"/>
  <c r="F53" i="9" s="1"/>
  <c r="BB15" i="7"/>
  <c r="Q13" i="9" s="1"/>
  <c r="G53" i="9" s="1"/>
  <c r="BB16" i="7"/>
  <c r="Q14" i="9" s="1"/>
  <c r="H53" i="9" s="1"/>
  <c r="BB17" i="7"/>
  <c r="Q15" i="9" s="1"/>
  <c r="I53" i="9" s="1"/>
  <c r="BB18" i="7"/>
  <c r="Q16" i="9" s="1"/>
  <c r="J53" i="9" s="1"/>
  <c r="BB19" i="7"/>
  <c r="Q17" i="9" s="1"/>
  <c r="K53" i="9" s="1"/>
  <c r="BB20" i="7"/>
  <c r="Q18" i="9" s="1"/>
  <c r="L53" i="9" s="1"/>
  <c r="BB21" i="7"/>
  <c r="Q19" i="9" s="1"/>
  <c r="M53" i="9" s="1"/>
  <c r="BB22" i="7"/>
  <c r="Q20" i="9" s="1"/>
  <c r="N53" i="9" s="1"/>
  <c r="BB23" i="7"/>
  <c r="Q21" i="9" s="1"/>
  <c r="O53" i="9" s="1"/>
  <c r="BB24" i="7"/>
  <c r="Q22" i="9" s="1"/>
  <c r="P53" i="9" s="1"/>
  <c r="BB25" i="7"/>
  <c r="Q23" i="9" s="1"/>
  <c r="Q53" i="9" s="1"/>
  <c r="BB26" i="7"/>
  <c r="Q24" i="9" s="1"/>
  <c r="R53" i="9" s="1"/>
  <c r="BB27" i="7"/>
  <c r="Q25" i="9" s="1"/>
  <c r="S53" i="9" s="1"/>
  <c r="BB28" i="7"/>
  <c r="Q26" i="9" s="1"/>
  <c r="T53" i="9" s="1"/>
  <c r="BB29" i="7"/>
  <c r="Q27" i="9" s="1"/>
  <c r="U53" i="9" s="1"/>
  <c r="BB30" i="7"/>
  <c r="Q28" i="9" s="1"/>
  <c r="V53" i="9" s="1"/>
  <c r="BB31" i="7"/>
  <c r="Q29" i="9" s="1"/>
  <c r="W53" i="9" s="1"/>
  <c r="K12" i="7"/>
  <c r="BB10" i="7" l="1"/>
  <c r="Q8" i="9" s="1"/>
  <c r="BB11" i="7"/>
  <c r="Q9" i="9" s="1"/>
  <c r="C53" i="9" s="1"/>
  <c r="K13" i="7"/>
  <c r="K14" i="7" l="1"/>
  <c r="K15" i="7" l="1"/>
  <c r="K16" i="7" l="1"/>
  <c r="K17" i="7" l="1"/>
  <c r="K18" i="7" l="1"/>
  <c r="K19" i="7" l="1"/>
  <c r="K20" i="7" l="1"/>
  <c r="K21" i="7" l="1"/>
  <c r="K22" i="7" l="1"/>
  <c r="K23" i="7" l="1"/>
  <c r="K24" i="7" l="1"/>
  <c r="K25" i="7" l="1"/>
  <c r="K26" i="7" l="1"/>
  <c r="K27" i="7" l="1"/>
  <c r="K28" i="7" l="1"/>
  <c r="K29" i="7" l="1"/>
  <c r="K30" i="7" l="1"/>
  <c r="K31" i="7" l="1"/>
  <c r="C13" i="7" l="1"/>
  <c r="H39" i="7"/>
  <c r="H40" i="7"/>
  <c r="H41" i="7"/>
  <c r="H42" i="7" s="1"/>
  <c r="H43" i="7" s="1"/>
  <c r="H38" i="7"/>
  <c r="H44" i="7" l="1"/>
  <c r="H45" i="7" s="1"/>
  <c r="H46" i="7" s="1"/>
  <c r="H47" i="7" s="1"/>
  <c r="H48" i="7" s="1"/>
  <c r="H49" i="7" s="1"/>
  <c r="H50" i="7" s="1"/>
  <c r="H51" i="7" s="1"/>
  <c r="H52" i="7" s="1"/>
  <c r="H53" i="7" s="1"/>
  <c r="H54" i="7" s="1"/>
  <c r="H55" i="7" s="1"/>
  <c r="H56" i="7" s="1"/>
  <c r="H57" i="7" s="1"/>
  <c r="H58" i="7" s="1"/>
  <c r="H59" i="7" s="1"/>
  <c r="L38" i="7"/>
  <c r="M38" i="7" s="1"/>
  <c r="BC10" i="7" s="1"/>
  <c r="R8" i="9" s="1"/>
  <c r="L39" i="7"/>
  <c r="M39" i="7" s="1"/>
  <c r="BC11" i="7" s="1"/>
  <c r="R9" i="9" s="1"/>
  <c r="C54" i="9" s="1"/>
  <c r="L40" i="7"/>
  <c r="AM15" i="7"/>
  <c r="B13" i="9" s="1"/>
  <c r="G37" i="9" s="1"/>
  <c r="H66" i="9" s="1"/>
  <c r="L42" i="7"/>
  <c r="M99" i="7" s="1"/>
  <c r="L41" i="7"/>
  <c r="K44" i="7"/>
  <c r="K45" i="7" l="1"/>
  <c r="L44" i="7"/>
  <c r="BC15" i="7"/>
  <c r="R13" i="9" s="1"/>
  <c r="G54" i="9" s="1"/>
  <c r="M44" i="7" l="1"/>
  <c r="M101" i="7"/>
  <c r="K46" i="7"/>
  <c r="L45" i="7"/>
  <c r="P69" i="7"/>
  <c r="BD11" i="7" s="1"/>
  <c r="S9" i="9" s="1"/>
  <c r="C55" i="9" s="1"/>
  <c r="O68" i="7"/>
  <c r="D72" i="7"/>
  <c r="D73" i="7" s="1"/>
  <c r="D74" i="7" s="1"/>
  <c r="D75" i="7" s="1"/>
  <c r="D76" i="7" s="1"/>
  <c r="D77" i="7" s="1"/>
  <c r="D78" i="7" s="1"/>
  <c r="D79" i="7" s="1"/>
  <c r="D80" i="7" s="1"/>
  <c r="D81" i="7" s="1"/>
  <c r="D82" i="7" s="1"/>
  <c r="D83" i="7" s="1"/>
  <c r="D84" i="7" s="1"/>
  <c r="D85" i="7" s="1"/>
  <c r="D86" i="7" s="1"/>
  <c r="D87" i="7" s="1"/>
  <c r="D88" i="7" s="1"/>
  <c r="D89" i="7" s="1"/>
  <c r="E72" i="7"/>
  <c r="E73" i="7" s="1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86" i="7" s="1"/>
  <c r="E87" i="7" s="1"/>
  <c r="E88" i="7" s="1"/>
  <c r="E89" i="7" s="1"/>
  <c r="F72" i="7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G72" i="7"/>
  <c r="G73" i="7" s="1"/>
  <c r="G74" i="7" s="1"/>
  <c r="G75" i="7" s="1"/>
  <c r="G76" i="7" s="1"/>
  <c r="G77" i="7" s="1"/>
  <c r="G78" i="7" s="1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89" i="7" s="1"/>
  <c r="C72" i="7"/>
  <c r="C73" i="7" s="1"/>
  <c r="C74" i="7" s="1"/>
  <c r="C75" i="7" s="1"/>
  <c r="C76" i="7" s="1"/>
  <c r="C77" i="7" s="1"/>
  <c r="C78" i="7" s="1"/>
  <c r="C79" i="7" s="1"/>
  <c r="C80" i="7" s="1"/>
  <c r="C81" i="7" s="1"/>
  <c r="C82" i="7" s="1"/>
  <c r="C83" i="7" s="1"/>
  <c r="C84" i="7" s="1"/>
  <c r="C85" i="7" s="1"/>
  <c r="C86" i="7" s="1"/>
  <c r="C87" i="7" s="1"/>
  <c r="C88" i="7" s="1"/>
  <c r="C89" i="7" s="1"/>
  <c r="M42" i="7"/>
  <c r="BC14" i="7" s="1"/>
  <c r="R12" i="9" s="1"/>
  <c r="F54" i="9" s="1"/>
  <c r="M41" i="7"/>
  <c r="BC13" i="7" s="1"/>
  <c r="R11" i="9" s="1"/>
  <c r="E54" i="9" s="1"/>
  <c r="I41" i="7"/>
  <c r="J41" i="7" s="1"/>
  <c r="BA13" i="7" s="1"/>
  <c r="P11" i="9" s="1"/>
  <c r="E52" i="9" s="1"/>
  <c r="M40" i="7"/>
  <c r="BC12" i="7" s="1"/>
  <c r="R10" i="9" s="1"/>
  <c r="D54" i="9" s="1"/>
  <c r="I40" i="7"/>
  <c r="J40" i="7" s="1"/>
  <c r="BA12" i="7" s="1"/>
  <c r="P10" i="9" s="1"/>
  <c r="D52" i="9" s="1"/>
  <c r="I39" i="7"/>
  <c r="J39" i="7" s="1"/>
  <c r="BA11" i="7" s="1"/>
  <c r="P9" i="9" s="1"/>
  <c r="C52" i="9" s="1"/>
  <c r="I38" i="7"/>
  <c r="J38" i="7" s="1"/>
  <c r="BA10" i="7" s="1"/>
  <c r="P8" i="9" s="1"/>
  <c r="C39" i="7"/>
  <c r="AY11" i="7" s="1"/>
  <c r="N9" i="9" s="1"/>
  <c r="C50" i="9" s="1"/>
  <c r="C38" i="7"/>
  <c r="E31" i="7"/>
  <c r="AN31" i="7" s="1"/>
  <c r="C29" i="9" s="1"/>
  <c r="W38" i="9" s="1"/>
  <c r="AO31" i="7"/>
  <c r="D29" i="9" s="1"/>
  <c r="W39" i="9" s="1"/>
  <c r="E30" i="7"/>
  <c r="AN30" i="7" s="1"/>
  <c r="C28" i="9" s="1"/>
  <c r="V38" i="9" s="1"/>
  <c r="AO30" i="7"/>
  <c r="D28" i="9" s="1"/>
  <c r="V39" i="9" s="1"/>
  <c r="E29" i="7"/>
  <c r="AN29" i="7" s="1"/>
  <c r="C27" i="9" s="1"/>
  <c r="U38" i="9" s="1"/>
  <c r="AO29" i="7"/>
  <c r="D27" i="9" s="1"/>
  <c r="U39" i="9" s="1"/>
  <c r="E28" i="7"/>
  <c r="AN28" i="7" s="1"/>
  <c r="C26" i="9" s="1"/>
  <c r="T38" i="9" s="1"/>
  <c r="AO28" i="7"/>
  <c r="D26" i="9" s="1"/>
  <c r="T39" i="9" s="1"/>
  <c r="E27" i="7"/>
  <c r="AN27" i="7" s="1"/>
  <c r="C25" i="9" s="1"/>
  <c r="S38" i="9" s="1"/>
  <c r="AO27" i="7"/>
  <c r="D25" i="9" s="1"/>
  <c r="S39" i="9" s="1"/>
  <c r="E26" i="7"/>
  <c r="AN26" i="7" s="1"/>
  <c r="C24" i="9" s="1"/>
  <c r="R38" i="9" s="1"/>
  <c r="AO26" i="7"/>
  <c r="D24" i="9" s="1"/>
  <c r="R39" i="9" s="1"/>
  <c r="C24" i="7"/>
  <c r="C23" i="7"/>
  <c r="C22" i="7"/>
  <c r="C21" i="7"/>
  <c r="C20" i="7"/>
  <c r="C19" i="7"/>
  <c r="C18" i="7"/>
  <c r="C17" i="7"/>
  <c r="C16" i="7"/>
  <c r="C15" i="7"/>
  <c r="C14" i="7"/>
  <c r="O12" i="7"/>
  <c r="C12" i="7"/>
  <c r="L11" i="7"/>
  <c r="Q11" i="7" s="1"/>
  <c r="E11" i="7"/>
  <c r="AN11" i="7" s="1"/>
  <c r="L10" i="7"/>
  <c r="Q10" i="7" s="1"/>
  <c r="E10" i="7"/>
  <c r="T69" i="7" l="1"/>
  <c r="O95" i="7"/>
  <c r="M45" i="7"/>
  <c r="M102" i="7"/>
  <c r="C9" i="9"/>
  <c r="C38" i="9" s="1"/>
  <c r="D67" i="9" s="1"/>
  <c r="AQ11" i="7"/>
  <c r="F9" i="9" s="1"/>
  <c r="C41" i="9" s="1"/>
  <c r="D70" i="9" s="1"/>
  <c r="H10" i="7"/>
  <c r="AN10" i="7"/>
  <c r="AA12" i="7"/>
  <c r="Z38" i="7"/>
  <c r="AY10" i="7"/>
  <c r="N8" i="9" s="1"/>
  <c r="P70" i="7"/>
  <c r="BD12" i="7" s="1"/>
  <c r="S10" i="9" s="1"/>
  <c r="D55" i="9" s="1"/>
  <c r="H11" i="7"/>
  <c r="K47" i="7"/>
  <c r="L46" i="7"/>
  <c r="AG12" i="7"/>
  <c r="AU12" i="7" s="1"/>
  <c r="J10" i="9" s="1"/>
  <c r="D46" i="9" s="1"/>
  <c r="E74" i="9" s="1"/>
  <c r="Z39" i="7"/>
  <c r="O13" i="7"/>
  <c r="D12" i="7"/>
  <c r="E12" i="7" s="1"/>
  <c r="AN12" i="7" s="1"/>
  <c r="O69" i="7"/>
  <c r="R69" i="7"/>
  <c r="M11" i="7"/>
  <c r="AB11" i="7" s="1"/>
  <c r="G8" i="9"/>
  <c r="L13" i="7"/>
  <c r="Q13" i="7" s="1"/>
  <c r="M10" i="7"/>
  <c r="AB10" i="7" s="1"/>
  <c r="L12" i="7"/>
  <c r="Q12" i="7" s="1"/>
  <c r="AC11" i="7" l="1"/>
  <c r="Z11" i="7"/>
  <c r="AS11" i="7" s="1"/>
  <c r="H9" i="9" s="1"/>
  <c r="C44" i="9" s="1"/>
  <c r="AC10" i="7"/>
  <c r="Z10" i="7"/>
  <c r="AS10" i="7" s="1"/>
  <c r="H8" i="9" s="1"/>
  <c r="AE10" i="7"/>
  <c r="AT10" i="7" s="1"/>
  <c r="I8" i="9" s="1"/>
  <c r="AF38" i="7"/>
  <c r="V95" i="7"/>
  <c r="S95" i="7"/>
  <c r="AE11" i="7"/>
  <c r="AT11" i="7"/>
  <c r="I9" i="9" s="1"/>
  <c r="C45" i="9" s="1"/>
  <c r="D73" i="9" s="1"/>
  <c r="M46" i="7"/>
  <c r="M103" i="7"/>
  <c r="AF39" i="7"/>
  <c r="S96" i="7"/>
  <c r="V96" i="7"/>
  <c r="C8" i="9"/>
  <c r="AQ10" i="7"/>
  <c r="F8" i="9" s="1"/>
  <c r="G9" i="9"/>
  <c r="C43" i="9" s="1"/>
  <c r="D72" i="9" s="1"/>
  <c r="AQ12" i="7"/>
  <c r="F10" i="9" s="1"/>
  <c r="D41" i="9" s="1"/>
  <c r="E70" i="9" s="1"/>
  <c r="C10" i="9"/>
  <c r="D38" i="9" s="1"/>
  <c r="E67" i="9" s="1"/>
  <c r="O70" i="7"/>
  <c r="T71" i="7" s="1"/>
  <c r="O96" i="7"/>
  <c r="AA13" i="7"/>
  <c r="H12" i="7"/>
  <c r="L47" i="7"/>
  <c r="K48" i="7"/>
  <c r="P71" i="7"/>
  <c r="BD13" i="7" s="1"/>
  <c r="S11" i="9" s="1"/>
  <c r="E55" i="9" s="1"/>
  <c r="D13" i="7"/>
  <c r="E13" i="7" s="1"/>
  <c r="AN13" i="7" s="1"/>
  <c r="C11" i="9" s="1"/>
  <c r="E38" i="9" s="1"/>
  <c r="F67" i="9" s="1"/>
  <c r="AG13" i="7"/>
  <c r="AU13" i="7" s="1"/>
  <c r="J11" i="9" s="1"/>
  <c r="E46" i="9" s="1"/>
  <c r="F74" i="9" s="1"/>
  <c r="Z40" i="7"/>
  <c r="T11" i="7"/>
  <c r="U11" i="7"/>
  <c r="W11" i="7" s="1"/>
  <c r="U10" i="7"/>
  <c r="W10" i="7" s="1"/>
  <c r="T10" i="7"/>
  <c r="V10" i="7" s="1"/>
  <c r="O14" i="7"/>
  <c r="T70" i="7"/>
  <c r="R70" i="7"/>
  <c r="U69" i="7"/>
  <c r="I43" i="7"/>
  <c r="J43" i="7" s="1"/>
  <c r="BA15" i="7" s="1"/>
  <c r="P13" i="9" s="1"/>
  <c r="G52" i="9" s="1"/>
  <c r="I42" i="7"/>
  <c r="J42" i="7" s="1"/>
  <c r="BA14" i="7" s="1"/>
  <c r="P12" i="9" s="1"/>
  <c r="F52" i="9" s="1"/>
  <c r="L14" i="7"/>
  <c r="Q14" i="7" s="1"/>
  <c r="M12" i="7"/>
  <c r="I44" i="7"/>
  <c r="J44" i="7" s="1"/>
  <c r="BA16" i="7" s="1"/>
  <c r="P14" i="9" s="1"/>
  <c r="H52" i="9" s="1"/>
  <c r="M13" i="7"/>
  <c r="AV10" i="7" l="1"/>
  <c r="K8" i="9" s="1"/>
  <c r="R71" i="7"/>
  <c r="AB12" i="7"/>
  <c r="AR13" i="7"/>
  <c r="G11" i="9" s="1"/>
  <c r="E43" i="9" s="1"/>
  <c r="F72" i="9" s="1"/>
  <c r="AR12" i="7"/>
  <c r="G10" i="9" s="1"/>
  <c r="D43" i="9" s="1"/>
  <c r="E72" i="9" s="1"/>
  <c r="M47" i="7"/>
  <c r="BC19" i="7" s="1"/>
  <c r="R17" i="9" s="1"/>
  <c r="K54" i="9" s="1"/>
  <c r="M104" i="7"/>
  <c r="S97" i="7"/>
  <c r="V97" i="7"/>
  <c r="AP13" i="7"/>
  <c r="P72" i="7"/>
  <c r="O71" i="7"/>
  <c r="T72" i="7" s="1"/>
  <c r="O97" i="7"/>
  <c r="AA14" i="7"/>
  <c r="V11" i="7"/>
  <c r="AV11" i="7" s="1"/>
  <c r="K9" i="9" s="1"/>
  <c r="C47" i="9" s="1"/>
  <c r="D75" i="9" s="1"/>
  <c r="AC39" i="7"/>
  <c r="AE39" i="7" s="1"/>
  <c r="AG39" i="7" s="1"/>
  <c r="V39" i="7" s="1"/>
  <c r="C40" i="7"/>
  <c r="AY12" i="7" s="1"/>
  <c r="N10" i="9" s="1"/>
  <c r="D50" i="9" s="1"/>
  <c r="AF40" i="7"/>
  <c r="L48" i="7"/>
  <c r="K49" i="7"/>
  <c r="AC38" i="7"/>
  <c r="AE38" i="7" s="1"/>
  <c r="AG38" i="7" s="1"/>
  <c r="V38" i="7" s="1"/>
  <c r="H13" i="7"/>
  <c r="D14" i="7"/>
  <c r="E14" i="7" s="1"/>
  <c r="AN14" i="7" s="1"/>
  <c r="C12" i="9" s="1"/>
  <c r="F38" i="9" s="1"/>
  <c r="G67" i="9" s="1"/>
  <c r="AG14" i="7"/>
  <c r="AU14" i="7" s="1"/>
  <c r="J12" i="9" s="1"/>
  <c r="F46" i="9" s="1"/>
  <c r="G74" i="9" s="1"/>
  <c r="O15" i="7"/>
  <c r="Z41" i="7"/>
  <c r="T13" i="7"/>
  <c r="AC41" i="7" s="1"/>
  <c r="AE41" i="7" s="1"/>
  <c r="U13" i="7"/>
  <c r="T12" i="7"/>
  <c r="U12" i="7"/>
  <c r="W12" i="7" s="1"/>
  <c r="U70" i="7"/>
  <c r="BC16" i="7"/>
  <c r="R14" i="9" s="1"/>
  <c r="H54" i="9" s="1"/>
  <c r="I45" i="7"/>
  <c r="J45" i="7" s="1"/>
  <c r="BA17" i="7" s="1"/>
  <c r="P15" i="9" s="1"/>
  <c r="I52" i="9" s="1"/>
  <c r="M14" i="7"/>
  <c r="L15" i="7"/>
  <c r="Q15" i="7" s="1"/>
  <c r="BC18" i="7"/>
  <c r="R16" i="9" s="1"/>
  <c r="J54" i="9" s="1"/>
  <c r="AC12" i="7" l="1"/>
  <c r="AE12" i="7" s="1"/>
  <c r="Z12" i="7"/>
  <c r="AS12" i="7" s="1"/>
  <c r="H10" i="9" s="1"/>
  <c r="D44" i="9" s="1"/>
  <c r="AT12" i="7"/>
  <c r="I10" i="9" s="1"/>
  <c r="D45" i="9" s="1"/>
  <c r="E73" i="9" s="1"/>
  <c r="U71" i="7"/>
  <c r="M48" i="7"/>
  <c r="BC20" i="7" s="1"/>
  <c r="R18" i="9" s="1"/>
  <c r="L54" i="9" s="1"/>
  <c r="M105" i="7"/>
  <c r="AB13" i="7"/>
  <c r="BD14" i="7"/>
  <c r="S12" i="9" s="1"/>
  <c r="F55" i="9" s="1"/>
  <c r="AQ13" i="7"/>
  <c r="F11" i="9" s="1"/>
  <c r="E41" i="9" s="1"/>
  <c r="F70" i="9" s="1"/>
  <c r="E11" i="9"/>
  <c r="E40" i="9" s="1"/>
  <c r="F69" i="9" s="1"/>
  <c r="AP14" i="7"/>
  <c r="P73" i="7"/>
  <c r="Q61" i="7" s="1"/>
  <c r="R61" i="7" s="1"/>
  <c r="S98" i="7"/>
  <c r="V98" i="7"/>
  <c r="O98" i="7"/>
  <c r="O72" i="7"/>
  <c r="T73" i="7" s="1"/>
  <c r="R72" i="7"/>
  <c r="R10" i="7"/>
  <c r="AX10" i="7"/>
  <c r="D39" i="7"/>
  <c r="P39" i="7" s="1"/>
  <c r="AZ11" i="7"/>
  <c r="AA15" i="7"/>
  <c r="R11" i="7"/>
  <c r="AX11" i="7"/>
  <c r="AZ10" i="7"/>
  <c r="V12" i="7"/>
  <c r="AV12" i="7" s="1"/>
  <c r="K10" i="9" s="1"/>
  <c r="D47" i="9" s="1"/>
  <c r="E75" i="9" s="1"/>
  <c r="AC40" i="7"/>
  <c r="AE40" i="7" s="1"/>
  <c r="AG40" i="7" s="1"/>
  <c r="V40" i="7" s="1"/>
  <c r="H14" i="7"/>
  <c r="L49" i="7"/>
  <c r="K50" i="7"/>
  <c r="C41" i="7"/>
  <c r="AY13" i="7" s="1"/>
  <c r="N11" i="9" s="1"/>
  <c r="E50" i="9" s="1"/>
  <c r="AF41" i="7"/>
  <c r="AG41" i="7" s="1"/>
  <c r="V41" i="7" s="1"/>
  <c r="D15" i="7"/>
  <c r="E15" i="7" s="1"/>
  <c r="AN15" i="7" s="1"/>
  <c r="C13" i="9" s="1"/>
  <c r="G38" i="9" s="1"/>
  <c r="H67" i="9" s="1"/>
  <c r="AG15" i="7"/>
  <c r="AU15" i="7" s="1"/>
  <c r="J13" i="9" s="1"/>
  <c r="G46" i="9" s="1"/>
  <c r="H74" i="9" s="1"/>
  <c r="W13" i="7"/>
  <c r="Z42" i="7"/>
  <c r="O16" i="7"/>
  <c r="V13" i="7"/>
  <c r="T14" i="7"/>
  <c r="U14" i="7"/>
  <c r="BC17" i="7"/>
  <c r="R15" i="9" s="1"/>
  <c r="I54" i="9" s="1"/>
  <c r="L16" i="7"/>
  <c r="I46" i="7"/>
  <c r="J46" i="7" s="1"/>
  <c r="BA18" i="7" s="1"/>
  <c r="P16" i="9" s="1"/>
  <c r="J52" i="9" s="1"/>
  <c r="M15" i="7"/>
  <c r="AC13" i="7" l="1"/>
  <c r="Z13" i="7"/>
  <c r="AS13" i="7" s="1"/>
  <c r="H11" i="9" s="1"/>
  <c r="E44" i="9" s="1"/>
  <c r="BD15" i="7"/>
  <c r="P74" i="7"/>
  <c r="R39" i="7"/>
  <c r="V69" i="7" s="1"/>
  <c r="M49" i="7"/>
  <c r="BC21" i="7" s="1"/>
  <c r="R19" i="9" s="1"/>
  <c r="M54" i="9" s="1"/>
  <c r="M106" i="7"/>
  <c r="Q16" i="7"/>
  <c r="AE13" i="7"/>
  <c r="AB14" i="7"/>
  <c r="BH11" i="7"/>
  <c r="W9" i="9" s="1"/>
  <c r="C59" i="9" s="1"/>
  <c r="D77" i="9" s="1"/>
  <c r="D91" i="9" s="1"/>
  <c r="M9" i="9"/>
  <c r="C48" i="9" s="1"/>
  <c r="D76" i="9" s="1"/>
  <c r="BH10" i="7"/>
  <c r="W8" i="9" s="1"/>
  <c r="M8" i="9"/>
  <c r="AR14" i="7"/>
  <c r="G12" i="9" s="1"/>
  <c r="F43" i="9" s="1"/>
  <c r="G72" i="9" s="1"/>
  <c r="BD16" i="7"/>
  <c r="S13" i="9"/>
  <c r="G55" i="9" s="1"/>
  <c r="AP15" i="7"/>
  <c r="AQ14" i="7"/>
  <c r="F12" i="9" s="1"/>
  <c r="F41" i="9" s="1"/>
  <c r="G70" i="9" s="1"/>
  <c r="E12" i="9"/>
  <c r="F40" i="9" s="1"/>
  <c r="G69" i="9" s="1"/>
  <c r="O9" i="9"/>
  <c r="C51" i="9" s="1"/>
  <c r="BE11" i="7"/>
  <c r="T9" i="9" s="1"/>
  <c r="C56" i="9" s="1"/>
  <c r="D79" i="9" s="1"/>
  <c r="BE10" i="7"/>
  <c r="T8" i="9" s="1"/>
  <c r="O8" i="9"/>
  <c r="AV13" i="7"/>
  <c r="K11" i="9" s="1"/>
  <c r="E47" i="9" s="1"/>
  <c r="F75" i="9" s="1"/>
  <c r="S99" i="7"/>
  <c r="V99" i="7"/>
  <c r="O99" i="7"/>
  <c r="O73" i="7"/>
  <c r="AB15" i="7" s="1"/>
  <c r="U72" i="7"/>
  <c r="R73" i="7"/>
  <c r="D38" i="7"/>
  <c r="P38" i="7" s="1"/>
  <c r="R38" i="7" s="1"/>
  <c r="AA16" i="7"/>
  <c r="D40" i="7"/>
  <c r="P40" i="7" s="1"/>
  <c r="AZ12" i="7"/>
  <c r="AX12" i="7"/>
  <c r="R12" i="7"/>
  <c r="D41" i="7"/>
  <c r="P41" i="7" s="1"/>
  <c r="AZ13" i="7"/>
  <c r="L50" i="7"/>
  <c r="K51" i="7"/>
  <c r="O17" i="7"/>
  <c r="H15" i="7"/>
  <c r="C42" i="7"/>
  <c r="AY14" i="7" s="1"/>
  <c r="N12" i="9" s="1"/>
  <c r="F50" i="9" s="1"/>
  <c r="AF42" i="7"/>
  <c r="W14" i="7"/>
  <c r="V14" i="7"/>
  <c r="AC42" i="7"/>
  <c r="AE42" i="7" s="1"/>
  <c r="Z43" i="7"/>
  <c r="D16" i="7"/>
  <c r="E16" i="7" s="1"/>
  <c r="AN16" i="7" s="1"/>
  <c r="C14" i="9" s="1"/>
  <c r="H38" i="9" s="1"/>
  <c r="I67" i="9" s="1"/>
  <c r="AG16" i="7"/>
  <c r="AU16" i="7" s="1"/>
  <c r="J14" i="9" s="1"/>
  <c r="H46" i="9" s="1"/>
  <c r="I74" i="9" s="1"/>
  <c r="T15" i="7"/>
  <c r="U15" i="7"/>
  <c r="L17" i="7"/>
  <c r="M16" i="7"/>
  <c r="I47" i="7"/>
  <c r="J47" i="7" s="1"/>
  <c r="BA19" i="7" s="1"/>
  <c r="P17" i="9" s="1"/>
  <c r="K52" i="9" s="1"/>
  <c r="AC14" i="7" l="1"/>
  <c r="Z14" i="7"/>
  <c r="AS14" i="7" s="1"/>
  <c r="H12" i="9" s="1"/>
  <c r="F44" i="9" s="1"/>
  <c r="AC15" i="7"/>
  <c r="Z15" i="7"/>
  <c r="AS15" i="7" s="1"/>
  <c r="H13" i="9" s="1"/>
  <c r="G44" i="9" s="1"/>
  <c r="Q63" i="7"/>
  <c r="Q62" i="7"/>
  <c r="R62" i="7" s="1"/>
  <c r="AT13" i="7"/>
  <c r="I11" i="9" s="1"/>
  <c r="E45" i="9" s="1"/>
  <c r="F73" i="9" s="1"/>
  <c r="R13" i="7"/>
  <c r="R41" i="7" s="1"/>
  <c r="V71" i="7" s="1"/>
  <c r="M50" i="7"/>
  <c r="BC22" i="7" s="1"/>
  <c r="R20" i="9" s="1"/>
  <c r="N54" i="9" s="1"/>
  <c r="M107" i="7"/>
  <c r="Q17" i="7"/>
  <c r="AE15" i="7"/>
  <c r="AE14" i="7"/>
  <c r="AP16" i="7"/>
  <c r="E14" i="9" s="1"/>
  <c r="H40" i="9" s="1"/>
  <c r="I69" i="9" s="1"/>
  <c r="AV14" i="7"/>
  <c r="K12" i="9" s="1"/>
  <c r="F47" i="9" s="1"/>
  <c r="G75" i="9" s="1"/>
  <c r="BH12" i="7"/>
  <c r="W10" i="9" s="1"/>
  <c r="D59" i="9" s="1"/>
  <c r="E77" i="9" s="1"/>
  <c r="E91" i="9" s="1"/>
  <c r="M10" i="9"/>
  <c r="D48" i="9" s="1"/>
  <c r="E76" i="9" s="1"/>
  <c r="AQ15" i="7"/>
  <c r="F13" i="9" s="1"/>
  <c r="G41" i="9" s="1"/>
  <c r="H70" i="9" s="1"/>
  <c r="E13" i="9"/>
  <c r="G40" i="9" s="1"/>
  <c r="H69" i="9" s="1"/>
  <c r="AR15" i="7"/>
  <c r="G13" i="9" s="1"/>
  <c r="G43" i="9" s="1"/>
  <c r="H72" i="9" s="1"/>
  <c r="P75" i="7"/>
  <c r="BD17" i="7" s="1"/>
  <c r="S14" i="9"/>
  <c r="H55" i="9" s="1"/>
  <c r="O11" i="9"/>
  <c r="E51" i="9" s="1"/>
  <c r="BE13" i="7"/>
  <c r="T11" i="9" s="1"/>
  <c r="E56" i="9" s="1"/>
  <c r="F79" i="9" s="1"/>
  <c r="O10" i="9"/>
  <c r="D51" i="9" s="1"/>
  <c r="BE12" i="7"/>
  <c r="T10" i="9" s="1"/>
  <c r="D56" i="9" s="1"/>
  <c r="E79" i="9" s="1"/>
  <c r="BG10" i="7"/>
  <c r="BG11" i="7"/>
  <c r="S100" i="7"/>
  <c r="V100" i="7"/>
  <c r="O74" i="7"/>
  <c r="R75" i="7" s="1"/>
  <c r="O100" i="7"/>
  <c r="U73" i="7"/>
  <c r="T74" i="7"/>
  <c r="R74" i="7"/>
  <c r="R40" i="7"/>
  <c r="V70" i="7" s="1"/>
  <c r="V68" i="7"/>
  <c r="W68" i="7" s="1"/>
  <c r="W69" i="7" s="1"/>
  <c r="T38" i="7"/>
  <c r="T39" i="7" s="1"/>
  <c r="AA17" i="7"/>
  <c r="O18" i="7"/>
  <c r="AG17" i="7"/>
  <c r="AU17" i="7" s="1"/>
  <c r="J15" i="9" s="1"/>
  <c r="I46" i="9" s="1"/>
  <c r="J74" i="9" s="1"/>
  <c r="D17" i="7"/>
  <c r="E17" i="7" s="1"/>
  <c r="AN17" i="7" s="1"/>
  <c r="C15" i="9" s="1"/>
  <c r="I38" i="9" s="1"/>
  <c r="J67" i="9" s="1"/>
  <c r="C43" i="7"/>
  <c r="AY15" i="7" s="1"/>
  <c r="N13" i="9" s="1"/>
  <c r="G50" i="9" s="1"/>
  <c r="AF43" i="7"/>
  <c r="V15" i="7"/>
  <c r="AC43" i="7"/>
  <c r="AE43" i="7" s="1"/>
  <c r="L51" i="7"/>
  <c r="K52" i="7"/>
  <c r="W15" i="7"/>
  <c r="AG42" i="7"/>
  <c r="V42" i="7" s="1"/>
  <c r="Z44" i="7"/>
  <c r="AG18" i="7"/>
  <c r="AU18" i="7" s="1"/>
  <c r="J16" i="9" s="1"/>
  <c r="J46" i="9" s="1"/>
  <c r="K74" i="9" s="1"/>
  <c r="T16" i="7"/>
  <c r="U16" i="7"/>
  <c r="I48" i="7"/>
  <c r="J48" i="7" s="1"/>
  <c r="BA20" i="7" s="1"/>
  <c r="P18" i="9" s="1"/>
  <c r="L52" i="9" s="1"/>
  <c r="L18" i="7"/>
  <c r="Q18" i="7" s="1"/>
  <c r="M17" i="7"/>
  <c r="AX13" i="7" l="1"/>
  <c r="BH13" i="7" s="1"/>
  <c r="W11" i="9" s="1"/>
  <c r="E59" i="9" s="1"/>
  <c r="F77" i="9" s="1"/>
  <c r="F91" i="9" s="1"/>
  <c r="AT14" i="7"/>
  <c r="I12" i="9" s="1"/>
  <c r="F45" i="9" s="1"/>
  <c r="G73" i="9" s="1"/>
  <c r="AT15" i="7"/>
  <c r="I13" i="9" s="1"/>
  <c r="G45" i="9" s="1"/>
  <c r="H73" i="9" s="1"/>
  <c r="M51" i="7"/>
  <c r="BC23" i="7" s="1"/>
  <c r="R21" i="9" s="1"/>
  <c r="O54" i="9" s="1"/>
  <c r="M108" i="7"/>
  <c r="AB16" i="7"/>
  <c r="M11" i="9"/>
  <c r="E48" i="9" s="1"/>
  <c r="F76" i="9" s="1"/>
  <c r="R14" i="7"/>
  <c r="T40" i="7"/>
  <c r="AP17" i="7"/>
  <c r="E15" i="9" s="1"/>
  <c r="I40" i="9" s="1"/>
  <c r="J69" i="9" s="1"/>
  <c r="T41" i="7"/>
  <c r="AR17" i="7"/>
  <c r="G15" i="9" s="1"/>
  <c r="I43" i="9" s="1"/>
  <c r="J72" i="9" s="1"/>
  <c r="T75" i="7"/>
  <c r="P76" i="7"/>
  <c r="BD18" i="7" s="1"/>
  <c r="S15" i="9"/>
  <c r="I55" i="9" s="1"/>
  <c r="V8" i="9"/>
  <c r="BI10" i="7"/>
  <c r="BG12" i="7"/>
  <c r="V9" i="9"/>
  <c r="C58" i="9" s="1"/>
  <c r="BI11" i="7"/>
  <c r="BG13" i="7"/>
  <c r="Z45" i="7"/>
  <c r="C45" i="7" s="1"/>
  <c r="AY17" i="7" s="1"/>
  <c r="N15" i="9" s="1"/>
  <c r="I50" i="9" s="1"/>
  <c r="S101" i="7"/>
  <c r="V101" i="7"/>
  <c r="AR16" i="7"/>
  <c r="G14" i="9" s="1"/>
  <c r="H43" i="9" s="1"/>
  <c r="I72" i="9" s="1"/>
  <c r="O75" i="7"/>
  <c r="AB17" i="7" s="1"/>
  <c r="O101" i="7"/>
  <c r="U74" i="7"/>
  <c r="AV15" i="7"/>
  <c r="W70" i="7"/>
  <c r="W71" i="7" s="1"/>
  <c r="AM16" i="7"/>
  <c r="G17" i="7"/>
  <c r="H17" i="7" s="1"/>
  <c r="D42" i="7"/>
  <c r="P42" i="7" s="1"/>
  <c r="AZ14" i="7"/>
  <c r="AA18" i="7"/>
  <c r="R15" i="7"/>
  <c r="D18" i="7"/>
  <c r="E18" i="7" s="1"/>
  <c r="AN18" i="7" s="1"/>
  <c r="C16" i="9" s="1"/>
  <c r="J38" i="9" s="1"/>
  <c r="K67" i="9" s="1"/>
  <c r="W16" i="7"/>
  <c r="O19" i="7"/>
  <c r="D19" i="7" s="1"/>
  <c r="E19" i="7" s="1"/>
  <c r="AN19" i="7" s="1"/>
  <c r="C17" i="9" s="1"/>
  <c r="K38" i="9" s="1"/>
  <c r="L67" i="9" s="1"/>
  <c r="L52" i="7"/>
  <c r="K53" i="7"/>
  <c r="AG43" i="7"/>
  <c r="V43" i="7" s="1"/>
  <c r="C44" i="7"/>
  <c r="AY16" i="7" s="1"/>
  <c r="N14" i="9" s="1"/>
  <c r="H50" i="9" s="1"/>
  <c r="AF44" i="7"/>
  <c r="V16" i="7"/>
  <c r="AC44" i="7"/>
  <c r="AE44" i="7" s="1"/>
  <c r="H16" i="7"/>
  <c r="AG19" i="7"/>
  <c r="AU19" i="7" s="1"/>
  <c r="J17" i="9" s="1"/>
  <c r="K46" i="9" s="1"/>
  <c r="L74" i="9" s="1"/>
  <c r="T17" i="7"/>
  <c r="U17" i="7"/>
  <c r="L19" i="7"/>
  <c r="Q19" i="7" s="1"/>
  <c r="I49" i="7"/>
  <c r="J49" i="7" s="1"/>
  <c r="BA21" i="7" s="1"/>
  <c r="P19" i="9" s="1"/>
  <c r="M52" i="9" s="1"/>
  <c r="M18" i="7"/>
  <c r="AX14" i="7" l="1"/>
  <c r="BH14" i="7" s="1"/>
  <c r="W12" i="9" s="1"/>
  <c r="F59" i="9" s="1"/>
  <c r="G77" i="9" s="1"/>
  <c r="G91" i="9" s="1"/>
  <c r="AC16" i="7"/>
  <c r="AE16" i="7" s="1"/>
  <c r="Z16" i="7"/>
  <c r="AS16" i="7" s="1"/>
  <c r="H14" i="9" s="1"/>
  <c r="H44" i="9" s="1"/>
  <c r="AC17" i="7"/>
  <c r="Z17" i="7"/>
  <c r="AS17" i="7" s="1"/>
  <c r="H15" i="9" s="1"/>
  <c r="I44" i="9" s="1"/>
  <c r="Z46" i="7"/>
  <c r="AT16" i="7"/>
  <c r="I14" i="9" s="1"/>
  <c r="H45" i="9" s="1"/>
  <c r="I73" i="9" s="1"/>
  <c r="M52" i="7"/>
  <c r="BC24" i="7" s="1"/>
  <c r="R22" i="9" s="1"/>
  <c r="P54" i="9" s="1"/>
  <c r="M109" i="7"/>
  <c r="AF45" i="7"/>
  <c r="W17" i="7"/>
  <c r="D81" i="9"/>
  <c r="D90" i="9" s="1"/>
  <c r="C57" i="9"/>
  <c r="D80" i="9" s="1"/>
  <c r="M12" i="9"/>
  <c r="F48" i="9" s="1"/>
  <c r="G76" i="9" s="1"/>
  <c r="R42" i="7"/>
  <c r="V72" i="7" s="1"/>
  <c r="W72" i="7" s="1"/>
  <c r="AE17" i="7"/>
  <c r="B14" i="9"/>
  <c r="H37" i="9" s="1"/>
  <c r="I66" i="9" s="1"/>
  <c r="AQ16" i="7"/>
  <c r="F14" i="9" s="1"/>
  <c r="H41" i="9" s="1"/>
  <c r="I70" i="9" s="1"/>
  <c r="U75" i="7"/>
  <c r="AX15" i="7"/>
  <c r="BH15" i="7" s="1"/>
  <c r="W13" i="9" s="1"/>
  <c r="G59" i="9" s="1"/>
  <c r="H77" i="9" s="1"/>
  <c r="H91" i="9" s="1"/>
  <c r="K13" i="9"/>
  <c r="G47" i="9" s="1"/>
  <c r="H75" i="9" s="1"/>
  <c r="P77" i="7"/>
  <c r="BD19" i="7" s="1"/>
  <c r="S16" i="9"/>
  <c r="J55" i="9" s="1"/>
  <c r="AP18" i="7"/>
  <c r="V11" i="9"/>
  <c r="E58" i="9" s="1"/>
  <c r="BI13" i="7"/>
  <c r="V10" i="9"/>
  <c r="D58" i="9" s="1"/>
  <c r="BI12" i="7"/>
  <c r="X10" i="9" s="1"/>
  <c r="D60" i="9" s="1"/>
  <c r="E82" i="9" s="1"/>
  <c r="BE14" i="7"/>
  <c r="T12" i="9" s="1"/>
  <c r="F56" i="9" s="1"/>
  <c r="G79" i="9" s="1"/>
  <c r="O12" i="9"/>
  <c r="F51" i="9" s="1"/>
  <c r="X9" i="9"/>
  <c r="C60" i="9" s="1"/>
  <c r="D82" i="9" s="1"/>
  <c r="BJ10" i="7"/>
  <c r="Y8" i="9" s="1"/>
  <c r="X8" i="9"/>
  <c r="O76" i="7"/>
  <c r="O102" i="7"/>
  <c r="AV16" i="7"/>
  <c r="K14" i="9" s="1"/>
  <c r="H47" i="9" s="1"/>
  <c r="I75" i="9" s="1"/>
  <c r="S103" i="7"/>
  <c r="V103" i="7"/>
  <c r="R76" i="7"/>
  <c r="T76" i="7"/>
  <c r="S102" i="7"/>
  <c r="V102" i="7"/>
  <c r="AM17" i="7"/>
  <c r="O20" i="7"/>
  <c r="K105" i="7" s="1"/>
  <c r="G18" i="7"/>
  <c r="AM18" i="7" s="1"/>
  <c r="B16" i="9" s="1"/>
  <c r="J37" i="9" s="1"/>
  <c r="K66" i="9" s="1"/>
  <c r="AA20" i="7"/>
  <c r="D43" i="7"/>
  <c r="P43" i="7" s="1"/>
  <c r="R43" i="7" s="1"/>
  <c r="V73" i="7" s="1"/>
  <c r="AZ15" i="7"/>
  <c r="AA19" i="7"/>
  <c r="G19" i="7"/>
  <c r="L53" i="7"/>
  <c r="K54" i="7"/>
  <c r="V17" i="7"/>
  <c r="AC45" i="7"/>
  <c r="AE45" i="7" s="1"/>
  <c r="AG45" i="7" s="1"/>
  <c r="V45" i="7" s="1"/>
  <c r="C46" i="7"/>
  <c r="AY18" i="7" s="1"/>
  <c r="N16" i="9" s="1"/>
  <c r="J50" i="9" s="1"/>
  <c r="AF46" i="7"/>
  <c r="AG44" i="7"/>
  <c r="V44" i="7" s="1"/>
  <c r="D20" i="7"/>
  <c r="E20" i="7" s="1"/>
  <c r="AN20" i="7" s="1"/>
  <c r="C18" i="9" s="1"/>
  <c r="L38" i="9" s="1"/>
  <c r="M67" i="9" s="1"/>
  <c r="AG20" i="7"/>
  <c r="AU20" i="7" s="1"/>
  <c r="J18" i="9" s="1"/>
  <c r="L46" i="9" s="1"/>
  <c r="M74" i="9" s="1"/>
  <c r="Z47" i="7"/>
  <c r="U18" i="7"/>
  <c r="W18" i="7" s="1"/>
  <c r="T18" i="7"/>
  <c r="O21" i="7"/>
  <c r="K106" i="7" s="1"/>
  <c r="L20" i="7"/>
  <c r="Q20" i="7" s="1"/>
  <c r="I50" i="7"/>
  <c r="J50" i="7" s="1"/>
  <c r="BA22" i="7" s="1"/>
  <c r="P20" i="9" s="1"/>
  <c r="N52" i="9" s="1"/>
  <c r="M19" i="7"/>
  <c r="AV17" i="7" l="1"/>
  <c r="K15" i="9" s="1"/>
  <c r="I47" i="9" s="1"/>
  <c r="J75" i="9" s="1"/>
  <c r="T42" i="7"/>
  <c r="AR18" i="7"/>
  <c r="G16" i="9" s="1"/>
  <c r="J43" i="9" s="1"/>
  <c r="K72" i="9" s="1"/>
  <c r="R16" i="7"/>
  <c r="M53" i="7"/>
  <c r="BC25" i="7" s="1"/>
  <c r="R23" i="9" s="1"/>
  <c r="Q54" i="9" s="1"/>
  <c r="M110" i="7"/>
  <c r="F81" i="9"/>
  <c r="F90" i="9" s="1"/>
  <c r="E57" i="9"/>
  <c r="F80" i="9" s="1"/>
  <c r="E81" i="9"/>
  <c r="E90" i="9" s="1"/>
  <c r="D57" i="9"/>
  <c r="E80" i="9" s="1"/>
  <c r="AB18" i="7"/>
  <c r="AT17" i="7"/>
  <c r="I15" i="9" s="1"/>
  <c r="I45" i="9" s="1"/>
  <c r="J73" i="9" s="1"/>
  <c r="M13" i="9"/>
  <c r="G48" i="9" s="1"/>
  <c r="H76" i="9" s="1"/>
  <c r="B15" i="9"/>
  <c r="I37" i="9" s="1"/>
  <c r="J66" i="9" s="1"/>
  <c r="AQ17" i="7"/>
  <c r="F15" i="9" s="1"/>
  <c r="I41" i="9" s="1"/>
  <c r="J70" i="9" s="1"/>
  <c r="AP19" i="7"/>
  <c r="AX16" i="7"/>
  <c r="BH16" i="7" s="1"/>
  <c r="W14" i="9" s="1"/>
  <c r="H59" i="9" s="1"/>
  <c r="I77" i="9" s="1"/>
  <c r="I91" i="9" s="1"/>
  <c r="U76" i="7"/>
  <c r="T77" i="7"/>
  <c r="R77" i="7"/>
  <c r="AR19" i="7" s="1"/>
  <c r="G17" i="9" s="1"/>
  <c r="K43" i="9" s="1"/>
  <c r="L72" i="9" s="1"/>
  <c r="AQ18" i="7"/>
  <c r="F16" i="9" s="1"/>
  <c r="J41" i="9" s="1"/>
  <c r="K70" i="9" s="1"/>
  <c r="E16" i="9"/>
  <c r="J40" i="9" s="1"/>
  <c r="K69" i="9" s="1"/>
  <c r="BG14" i="7"/>
  <c r="V12" i="9" s="1"/>
  <c r="F58" i="9" s="1"/>
  <c r="P78" i="7"/>
  <c r="BD20" i="7" s="1"/>
  <c r="S17" i="9"/>
  <c r="K55" i="9" s="1"/>
  <c r="O13" i="9"/>
  <c r="G51" i="9" s="1"/>
  <c r="BE15" i="7"/>
  <c r="T13" i="9" s="1"/>
  <c r="G56" i="9" s="1"/>
  <c r="H79" i="9" s="1"/>
  <c r="W73" i="7"/>
  <c r="X11" i="9"/>
  <c r="E60" i="9" s="1"/>
  <c r="F82" i="9" s="1"/>
  <c r="BJ11" i="7"/>
  <c r="S104" i="7"/>
  <c r="V104" i="7"/>
  <c r="O77" i="7"/>
  <c r="O78" i="7" s="1"/>
  <c r="O79" i="7" s="1"/>
  <c r="O80" i="7" s="1"/>
  <c r="O103" i="7"/>
  <c r="AM19" i="7"/>
  <c r="B17" i="9" s="1"/>
  <c r="K37" i="9" s="1"/>
  <c r="L66" i="9" s="1"/>
  <c r="T43" i="7"/>
  <c r="R17" i="7"/>
  <c r="H18" i="7"/>
  <c r="D44" i="7"/>
  <c r="P44" i="7" s="1"/>
  <c r="R44" i="7" s="1"/>
  <c r="V74" i="7" s="1"/>
  <c r="AZ16" i="7"/>
  <c r="AA21" i="7"/>
  <c r="AA22" i="7" s="1"/>
  <c r="AA23" i="7" s="1"/>
  <c r="AA24" i="7" s="1"/>
  <c r="AA25" i="7" s="1"/>
  <c r="AA26" i="7" s="1"/>
  <c r="AA27" i="7" s="1"/>
  <c r="AA28" i="7" s="1"/>
  <c r="AA29" i="7" s="1"/>
  <c r="AA30" i="7" s="1"/>
  <c r="AA31" i="7" s="1"/>
  <c r="D45" i="7"/>
  <c r="P45" i="7" s="1"/>
  <c r="AZ17" i="7"/>
  <c r="H19" i="7"/>
  <c r="L54" i="7"/>
  <c r="K55" i="7"/>
  <c r="V18" i="7"/>
  <c r="AV18" i="7" s="1"/>
  <c r="K16" i="9" s="1"/>
  <c r="J47" i="9" s="1"/>
  <c r="K75" i="9" s="1"/>
  <c r="AC46" i="7"/>
  <c r="AE46" i="7" s="1"/>
  <c r="AG46" i="7" s="1"/>
  <c r="V46" i="7" s="1"/>
  <c r="C47" i="7"/>
  <c r="AY19" i="7" s="1"/>
  <c r="N17" i="9" s="1"/>
  <c r="K50" i="9" s="1"/>
  <c r="AF47" i="7"/>
  <c r="G20" i="7"/>
  <c r="D21" i="7"/>
  <c r="E21" i="7" s="1"/>
  <c r="AN21" i="7" s="1"/>
  <c r="C19" i="9" s="1"/>
  <c r="M38" i="9" s="1"/>
  <c r="N67" i="9" s="1"/>
  <c r="AG21" i="7"/>
  <c r="AU21" i="7" s="1"/>
  <c r="J19" i="9" s="1"/>
  <c r="M46" i="9" s="1"/>
  <c r="N74" i="9" s="1"/>
  <c r="Z48" i="7"/>
  <c r="T19" i="7"/>
  <c r="U19" i="7"/>
  <c r="W19" i="7" s="1"/>
  <c r="O22" i="7"/>
  <c r="K107" i="7" s="1"/>
  <c r="I51" i="7"/>
  <c r="J51" i="7" s="1"/>
  <c r="BA23" i="7" s="1"/>
  <c r="P21" i="9" s="1"/>
  <c r="O52" i="9" s="1"/>
  <c r="L21" i="7"/>
  <c r="Q21" i="7" s="1"/>
  <c r="M20" i="7"/>
  <c r="O81" i="7" l="1"/>
  <c r="O82" i="7" s="1"/>
  <c r="O83" i="7" s="1"/>
  <c r="O84" i="7" s="1"/>
  <c r="O85" i="7" s="1"/>
  <c r="O86" i="7" s="1"/>
  <c r="O87" i="7" s="1"/>
  <c r="O88" i="7" s="1"/>
  <c r="AB22" i="7"/>
  <c r="AC18" i="7"/>
  <c r="Z18" i="7"/>
  <c r="AS18" i="7" s="1"/>
  <c r="H16" i="9" s="1"/>
  <c r="J44" i="9" s="1"/>
  <c r="O89" i="7"/>
  <c r="N91" i="7"/>
  <c r="AX17" i="7"/>
  <c r="M15" i="9" s="1"/>
  <c r="I48" i="9" s="1"/>
  <c r="J76" i="9" s="1"/>
  <c r="AQ19" i="7"/>
  <c r="F17" i="9" s="1"/>
  <c r="K41" i="9" s="1"/>
  <c r="L70" i="9" s="1"/>
  <c r="M54" i="7"/>
  <c r="BC26" i="7" s="1"/>
  <c r="R24" i="9" s="1"/>
  <c r="R54" i="9" s="1"/>
  <c r="M111" i="7"/>
  <c r="G81" i="9"/>
  <c r="G90" i="9" s="1"/>
  <c r="F57" i="9"/>
  <c r="G80" i="9" s="1"/>
  <c r="AE18" i="7"/>
  <c r="AB19" i="7"/>
  <c r="E17" i="9"/>
  <c r="K40" i="9" s="1"/>
  <c r="L69" i="9" s="1"/>
  <c r="AS21" i="7"/>
  <c r="H19" i="9" s="1"/>
  <c r="M44" i="9" s="1"/>
  <c r="M14" i="9"/>
  <c r="H48" i="9" s="1"/>
  <c r="I76" i="9" s="1"/>
  <c r="U77" i="7"/>
  <c r="O104" i="7"/>
  <c r="R78" i="7"/>
  <c r="W74" i="7"/>
  <c r="P79" i="7"/>
  <c r="BD21" i="7" s="1"/>
  <c r="S18" i="9"/>
  <c r="L55" i="9" s="1"/>
  <c r="AP20" i="7"/>
  <c r="BI14" i="7"/>
  <c r="X12" i="9" s="1"/>
  <c r="F60" i="9" s="1"/>
  <c r="G82" i="9" s="1"/>
  <c r="O15" i="9"/>
  <c r="I51" i="9" s="1"/>
  <c r="BE17" i="7"/>
  <c r="T15" i="9" s="1"/>
  <c r="I56" i="9" s="1"/>
  <c r="J79" i="9" s="1"/>
  <c r="BE16" i="7"/>
  <c r="T14" i="9" s="1"/>
  <c r="H56" i="9" s="1"/>
  <c r="I79" i="9" s="1"/>
  <c r="O14" i="9"/>
  <c r="H51" i="9" s="1"/>
  <c r="BJ12" i="7"/>
  <c r="Y9" i="9"/>
  <c r="C61" i="9" s="1"/>
  <c r="BG15" i="7"/>
  <c r="S105" i="7"/>
  <c r="V105" i="7"/>
  <c r="T78" i="7"/>
  <c r="O106" i="7"/>
  <c r="L106" i="7" s="1"/>
  <c r="O105" i="7"/>
  <c r="L105" i="7" s="1"/>
  <c r="AM20" i="7"/>
  <c r="B18" i="9" s="1"/>
  <c r="L37" i="9" s="1"/>
  <c r="M66" i="9" s="1"/>
  <c r="R45" i="7"/>
  <c r="V75" i="7" s="1"/>
  <c r="R79" i="7"/>
  <c r="T79" i="7"/>
  <c r="T44" i="7"/>
  <c r="R80" i="7"/>
  <c r="D46" i="7"/>
  <c r="P46" i="7" s="1"/>
  <c r="AZ18" i="7"/>
  <c r="G21" i="7"/>
  <c r="C48" i="7"/>
  <c r="AY20" i="7" s="1"/>
  <c r="N18" i="9" s="1"/>
  <c r="L50" i="9" s="1"/>
  <c r="AF48" i="7"/>
  <c r="V19" i="7"/>
  <c r="AV19" i="7" s="1"/>
  <c r="K17" i="9" s="1"/>
  <c r="K47" i="9" s="1"/>
  <c r="L75" i="9" s="1"/>
  <c r="AC47" i="7"/>
  <c r="AE47" i="7" s="1"/>
  <c r="AG47" i="7" s="1"/>
  <c r="V47" i="7" s="1"/>
  <c r="L55" i="7"/>
  <c r="K56" i="7"/>
  <c r="H20" i="7"/>
  <c r="D22" i="7"/>
  <c r="E22" i="7" s="1"/>
  <c r="AN22" i="7" s="1"/>
  <c r="C20" i="9" s="1"/>
  <c r="N38" i="9" s="1"/>
  <c r="AG22" i="7"/>
  <c r="AU22" i="7" s="1"/>
  <c r="J20" i="9" s="1"/>
  <c r="N46" i="9" s="1"/>
  <c r="Z49" i="7"/>
  <c r="T20" i="7"/>
  <c r="U20" i="7"/>
  <c r="W20" i="7" s="1"/>
  <c r="O107" i="7"/>
  <c r="L107" i="7" s="1"/>
  <c r="T80" i="7"/>
  <c r="M21" i="7"/>
  <c r="AB21" i="7" s="1"/>
  <c r="Z21" i="7" s="1"/>
  <c r="I52" i="7"/>
  <c r="J52" i="7" s="1"/>
  <c r="BA24" i="7" s="1"/>
  <c r="P22" i="9" s="1"/>
  <c r="P52" i="9" s="1"/>
  <c r="O23" i="7"/>
  <c r="L22" i="7"/>
  <c r="Q22" i="7" s="1"/>
  <c r="AC19" i="7" l="1"/>
  <c r="AE19" i="7" s="1"/>
  <c r="Z19" i="7"/>
  <c r="BH17" i="7"/>
  <c r="W15" i="9" s="1"/>
  <c r="I59" i="9" s="1"/>
  <c r="J77" i="9" s="1"/>
  <c r="J91" i="9" s="1"/>
  <c r="AT18" i="7"/>
  <c r="I16" i="9" s="1"/>
  <c r="J45" i="9" s="1"/>
  <c r="K73" i="9" s="1"/>
  <c r="R18" i="7"/>
  <c r="R46" i="7" s="1"/>
  <c r="V76" i="7" s="1"/>
  <c r="AT19" i="7"/>
  <c r="I17" i="9" s="1"/>
  <c r="K45" i="9" s="1"/>
  <c r="M55" i="7"/>
  <c r="BC27" i="7" s="1"/>
  <c r="R25" i="9" s="1"/>
  <c r="S54" i="9" s="1"/>
  <c r="M112" i="7"/>
  <c r="K108" i="7"/>
  <c r="AC21" i="7"/>
  <c r="AB20" i="7"/>
  <c r="W75" i="7"/>
  <c r="AR20" i="7"/>
  <c r="G18" i="9" s="1"/>
  <c r="L43" i="9" s="1"/>
  <c r="M72" i="9" s="1"/>
  <c r="AP21" i="7"/>
  <c r="E19" i="9" s="1"/>
  <c r="M40" i="9" s="1"/>
  <c r="N69" i="9" s="1"/>
  <c r="AR21" i="7"/>
  <c r="G19" i="9" s="1"/>
  <c r="M43" i="9" s="1"/>
  <c r="N72" i="9" s="1"/>
  <c r="AQ20" i="7"/>
  <c r="F18" i="9" s="1"/>
  <c r="L41" i="9" s="1"/>
  <c r="M70" i="9" s="1"/>
  <c r="E18" i="9"/>
  <c r="L40" i="9" s="1"/>
  <c r="M69" i="9" s="1"/>
  <c r="P80" i="7"/>
  <c r="BD22" i="7" s="1"/>
  <c r="S19" i="9"/>
  <c r="M55" i="9" s="1"/>
  <c r="BE18" i="7"/>
  <c r="T16" i="9" s="1"/>
  <c r="J56" i="9" s="1"/>
  <c r="K79" i="9" s="1"/>
  <c r="O16" i="9"/>
  <c r="J51" i="9" s="1"/>
  <c r="BG16" i="7"/>
  <c r="BI15" i="7"/>
  <c r="V13" i="9"/>
  <c r="G58" i="9" s="1"/>
  <c r="Y10" i="9"/>
  <c r="D61" i="9" s="1"/>
  <c r="BJ13" i="7"/>
  <c r="BG17" i="7"/>
  <c r="V15" i="9" s="1"/>
  <c r="I58" i="9" s="1"/>
  <c r="S106" i="7"/>
  <c r="V106" i="7"/>
  <c r="U78" i="7"/>
  <c r="AM21" i="7"/>
  <c r="B19" i="9" s="1"/>
  <c r="M37" i="9" s="1"/>
  <c r="N66" i="9" s="1"/>
  <c r="T45" i="7"/>
  <c r="D47" i="7"/>
  <c r="P47" i="7" s="1"/>
  <c r="AZ19" i="7"/>
  <c r="G22" i="7"/>
  <c r="H21" i="7"/>
  <c r="V20" i="7"/>
  <c r="AV20" i="7" s="1"/>
  <c r="K18" i="9" s="1"/>
  <c r="L47" i="9" s="1"/>
  <c r="M75" i="9" s="1"/>
  <c r="AC48" i="7"/>
  <c r="AE48" i="7" s="1"/>
  <c r="AG48" i="7" s="1"/>
  <c r="V48" i="7" s="1"/>
  <c r="C49" i="7"/>
  <c r="AY21" i="7" s="1"/>
  <c r="N19" i="9" s="1"/>
  <c r="M50" i="9" s="1"/>
  <c r="AF49" i="7"/>
  <c r="R81" i="7"/>
  <c r="L56" i="7"/>
  <c r="K57" i="7"/>
  <c r="U79" i="7"/>
  <c r="D23" i="7"/>
  <c r="E23" i="7" s="1"/>
  <c r="AN23" i="7" s="1"/>
  <c r="C21" i="9" s="1"/>
  <c r="O38" i="9" s="1"/>
  <c r="AG23" i="7"/>
  <c r="AU23" i="7" s="1"/>
  <c r="J21" i="9" s="1"/>
  <c r="O46" i="9" s="1"/>
  <c r="Z50" i="7"/>
  <c r="T21" i="7"/>
  <c r="U21" i="7"/>
  <c r="W21" i="7" s="1"/>
  <c r="O108" i="7"/>
  <c r="L108" i="7" s="1"/>
  <c r="T81" i="7"/>
  <c r="O24" i="7"/>
  <c r="I53" i="7"/>
  <c r="J53" i="7" s="1"/>
  <c r="BA25" i="7" s="1"/>
  <c r="P23" i="9" s="1"/>
  <c r="Q52" i="9" s="1"/>
  <c r="AR22" i="7"/>
  <c r="G20" i="9" s="1"/>
  <c r="N43" i="9" s="1"/>
  <c r="M22" i="7"/>
  <c r="AC22" i="7" s="1"/>
  <c r="L23" i="7"/>
  <c r="Q23" i="7" s="1"/>
  <c r="R19" i="7" l="1"/>
  <c r="AC20" i="7"/>
  <c r="Z20" i="7"/>
  <c r="AS20" i="7" s="1"/>
  <c r="H18" i="9" s="1"/>
  <c r="L44" i="9" s="1"/>
  <c r="Z22" i="7"/>
  <c r="AS19" i="7"/>
  <c r="H17" i="9" s="1"/>
  <c r="K44" i="9" s="1"/>
  <c r="L73" i="9" s="1"/>
  <c r="AE22" i="7"/>
  <c r="AE23" i="7" s="1"/>
  <c r="AX18" i="7"/>
  <c r="M16" i="9" s="1"/>
  <c r="J48" i="9" s="1"/>
  <c r="K76" i="9" s="1"/>
  <c r="AX19" i="7"/>
  <c r="BH19" i="7" s="1"/>
  <c r="W17" i="9" s="1"/>
  <c r="K59" i="9" s="1"/>
  <c r="L77" i="9" s="1"/>
  <c r="L91" i="9" s="1"/>
  <c r="W76" i="7"/>
  <c r="AQ21" i="7"/>
  <c r="F19" i="9" s="1"/>
  <c r="M41" i="9" s="1"/>
  <c r="N70" i="9" s="1"/>
  <c r="M56" i="7"/>
  <c r="BC28" i="7" s="1"/>
  <c r="R26" i="9" s="1"/>
  <c r="T54" i="9" s="1"/>
  <c r="M113" i="7"/>
  <c r="K109" i="7"/>
  <c r="J81" i="9"/>
  <c r="J90" i="9" s="1"/>
  <c r="I57" i="9"/>
  <c r="J80" i="9" s="1"/>
  <c r="H81" i="9"/>
  <c r="H90" i="9" s="1"/>
  <c r="G57" i="9"/>
  <c r="H80" i="9" s="1"/>
  <c r="BI17" i="7"/>
  <c r="X15" i="9" s="1"/>
  <c r="I60" i="9" s="1"/>
  <c r="J82" i="9" s="1"/>
  <c r="AE20" i="7"/>
  <c r="AE21" i="7"/>
  <c r="T46" i="7"/>
  <c r="P81" i="7"/>
  <c r="BD23" i="7" s="1"/>
  <c r="S20" i="9"/>
  <c r="N55" i="9" s="1"/>
  <c r="AP22" i="7"/>
  <c r="O17" i="9"/>
  <c r="K51" i="9" s="1"/>
  <c r="BE19" i="7"/>
  <c r="T17" i="9" s="1"/>
  <c r="K56" i="9" s="1"/>
  <c r="L79" i="9" s="1"/>
  <c r="BI16" i="7"/>
  <c r="V14" i="9"/>
  <c r="H58" i="9" s="1"/>
  <c r="X13" i="9"/>
  <c r="G60" i="9" s="1"/>
  <c r="H82" i="9" s="1"/>
  <c r="Y11" i="9"/>
  <c r="E61" i="9" s="1"/>
  <c r="BJ14" i="7"/>
  <c r="Y12" i="9" s="1"/>
  <c r="F61" i="9" s="1"/>
  <c r="BG18" i="7"/>
  <c r="S107" i="7"/>
  <c r="V107" i="7"/>
  <c r="AM22" i="7"/>
  <c r="B20" i="9" s="1"/>
  <c r="N37" i="9" s="1"/>
  <c r="R47" i="7"/>
  <c r="V77" i="7" s="1"/>
  <c r="H22" i="7"/>
  <c r="D48" i="7"/>
  <c r="P48" i="7" s="1"/>
  <c r="AZ20" i="7"/>
  <c r="G23" i="7"/>
  <c r="V21" i="7"/>
  <c r="AV21" i="7" s="1"/>
  <c r="K19" i="9" s="1"/>
  <c r="M47" i="9" s="1"/>
  <c r="N75" i="9" s="1"/>
  <c r="AC49" i="7"/>
  <c r="AE49" i="7" s="1"/>
  <c r="AG49" i="7" s="1"/>
  <c r="V49" i="7" s="1"/>
  <c r="L57" i="7"/>
  <c r="K58" i="7"/>
  <c r="C50" i="7"/>
  <c r="AY22" i="7" s="1"/>
  <c r="N20" i="9" s="1"/>
  <c r="N50" i="9" s="1"/>
  <c r="AF50" i="7"/>
  <c r="U80" i="7"/>
  <c r="R82" i="7"/>
  <c r="D24" i="7"/>
  <c r="E24" i="7" s="1"/>
  <c r="AN24" i="7" s="1"/>
  <c r="C22" i="9" s="1"/>
  <c r="P38" i="9" s="1"/>
  <c r="AG24" i="7"/>
  <c r="AU24" i="7" s="1"/>
  <c r="J22" i="9" s="1"/>
  <c r="P46" i="9" s="1"/>
  <c r="Z51" i="7"/>
  <c r="T22" i="7"/>
  <c r="U22" i="7"/>
  <c r="W22" i="7" s="1"/>
  <c r="O109" i="7"/>
  <c r="L109" i="7" s="1"/>
  <c r="T82" i="7"/>
  <c r="O25" i="7"/>
  <c r="L24" i="7"/>
  <c r="Q24" i="7" s="1"/>
  <c r="AR23" i="7"/>
  <c r="G21" i="9" s="1"/>
  <c r="O43" i="9" s="1"/>
  <c r="M23" i="7"/>
  <c r="I54" i="7"/>
  <c r="J54" i="7" s="1"/>
  <c r="BA26" i="7" s="1"/>
  <c r="P24" i="9" s="1"/>
  <c r="R52" i="9" s="1"/>
  <c r="Z23" i="7" l="1"/>
  <c r="AS22" i="7"/>
  <c r="H20" i="9" s="1"/>
  <c r="N44" i="9" s="1"/>
  <c r="AE24" i="7"/>
  <c r="AE25" i="7" s="1"/>
  <c r="AE26" i="7" s="1"/>
  <c r="AE27" i="7" s="1"/>
  <c r="AE28" i="7" s="1"/>
  <c r="AE29" i="7" s="1"/>
  <c r="AE30" i="7" s="1"/>
  <c r="AE31" i="7" s="1"/>
  <c r="AT23" i="7"/>
  <c r="I21" i="9" s="1"/>
  <c r="O45" i="9" s="1"/>
  <c r="BH18" i="7"/>
  <c r="W16" i="9" s="1"/>
  <c r="J59" i="9" s="1"/>
  <c r="K77" i="9" s="1"/>
  <c r="K91" i="9" s="1"/>
  <c r="M17" i="9"/>
  <c r="K48" i="9" s="1"/>
  <c r="L76" i="9" s="1"/>
  <c r="W77" i="7"/>
  <c r="AT22" i="7"/>
  <c r="I20" i="9" s="1"/>
  <c r="N45" i="9" s="1"/>
  <c r="AT20" i="7"/>
  <c r="I18" i="9" s="1"/>
  <c r="L45" i="9" s="1"/>
  <c r="M73" i="9" s="1"/>
  <c r="M57" i="7"/>
  <c r="BC29" i="7" s="1"/>
  <c r="R27" i="9" s="1"/>
  <c r="U54" i="9" s="1"/>
  <c r="M114" i="7"/>
  <c r="K110" i="7"/>
  <c r="I81" i="9"/>
  <c r="I90" i="9" s="1"/>
  <c r="H57" i="9"/>
  <c r="I80" i="9" s="1"/>
  <c r="AP23" i="7"/>
  <c r="AT21" i="7"/>
  <c r="I19" i="9" s="1"/>
  <c r="M45" i="9" s="1"/>
  <c r="N73" i="9" s="1"/>
  <c r="AX20" i="7"/>
  <c r="BH20" i="7" s="1"/>
  <c r="W18" i="9" s="1"/>
  <c r="L59" i="9" s="1"/>
  <c r="M77" i="9" s="1"/>
  <c r="M91" i="9" s="1"/>
  <c r="R20" i="7"/>
  <c r="R48" i="7" s="1"/>
  <c r="V78" i="7" s="1"/>
  <c r="AQ22" i="7"/>
  <c r="F20" i="9" s="1"/>
  <c r="N41" i="9" s="1"/>
  <c r="E20" i="9"/>
  <c r="N40" i="9" s="1"/>
  <c r="M18" i="9"/>
  <c r="L48" i="9" s="1"/>
  <c r="M76" i="9" s="1"/>
  <c r="BJ15" i="7"/>
  <c r="Y13" i="9" s="1"/>
  <c r="G61" i="9" s="1"/>
  <c r="P82" i="7"/>
  <c r="BD24" i="7" s="1"/>
  <c r="S21" i="9"/>
  <c r="O55" i="9" s="1"/>
  <c r="O18" i="9"/>
  <c r="L51" i="9" s="1"/>
  <c r="BE20" i="7"/>
  <c r="T18" i="9" s="1"/>
  <c r="L56" i="9" s="1"/>
  <c r="M79" i="9" s="1"/>
  <c r="X14" i="9"/>
  <c r="H60" i="9" s="1"/>
  <c r="I82" i="9" s="1"/>
  <c r="V16" i="9"/>
  <c r="J58" i="9" s="1"/>
  <c r="BG19" i="7"/>
  <c r="S108" i="7"/>
  <c r="V108" i="7"/>
  <c r="T47" i="7"/>
  <c r="AM23" i="7"/>
  <c r="B21" i="9" s="1"/>
  <c r="O37" i="9" s="1"/>
  <c r="H23" i="7"/>
  <c r="R21" i="7"/>
  <c r="D49" i="7"/>
  <c r="P49" i="7" s="1"/>
  <c r="AZ21" i="7"/>
  <c r="AT24" i="7"/>
  <c r="I22" i="9" s="1"/>
  <c r="P45" i="9" s="1"/>
  <c r="G24" i="7"/>
  <c r="V22" i="7"/>
  <c r="AV22" i="7" s="1"/>
  <c r="K20" i="9" s="1"/>
  <c r="N47" i="9" s="1"/>
  <c r="AC50" i="7"/>
  <c r="AE50" i="7" s="1"/>
  <c r="AG50" i="7" s="1"/>
  <c r="V50" i="7" s="1"/>
  <c r="C51" i="7"/>
  <c r="AY23" i="7" s="1"/>
  <c r="N21" i="9" s="1"/>
  <c r="O50" i="9" s="1"/>
  <c r="AF51" i="7"/>
  <c r="L58" i="7"/>
  <c r="K59" i="7"/>
  <c r="R83" i="7"/>
  <c r="U81" i="7"/>
  <c r="D25" i="7"/>
  <c r="E25" i="7" s="1"/>
  <c r="AN25" i="7" s="1"/>
  <c r="C23" i="9" s="1"/>
  <c r="Q38" i="9" s="1"/>
  <c r="AG25" i="7"/>
  <c r="AU25" i="7" s="1"/>
  <c r="J23" i="9" s="1"/>
  <c r="Q46" i="9" s="1"/>
  <c r="Z52" i="7"/>
  <c r="T23" i="7"/>
  <c r="U23" i="7"/>
  <c r="W23" i="7" s="1"/>
  <c r="O110" i="7"/>
  <c r="L110" i="7" s="1"/>
  <c r="T83" i="7"/>
  <c r="O26" i="7"/>
  <c r="I55" i="7"/>
  <c r="J55" i="7" s="1"/>
  <c r="BA27" i="7" s="1"/>
  <c r="P25" i="9" s="1"/>
  <c r="S52" i="9" s="1"/>
  <c r="M24" i="7"/>
  <c r="AR24" i="7"/>
  <c r="G22" i="9" s="1"/>
  <c r="P43" i="9" s="1"/>
  <c r="L25" i="7"/>
  <c r="Q25" i="7" s="1"/>
  <c r="BI18" i="7" l="1"/>
  <c r="AX21" i="7"/>
  <c r="M19" i="9" s="1"/>
  <c r="M48" i="9" s="1"/>
  <c r="N76" i="9" s="1"/>
  <c r="W78" i="7"/>
  <c r="Z24" i="7"/>
  <c r="AS23" i="7"/>
  <c r="H21" i="9" s="1"/>
  <c r="O44" i="9" s="1"/>
  <c r="K111" i="7"/>
  <c r="M58" i="7"/>
  <c r="BC30" i="7" s="1"/>
  <c r="R28" i="9" s="1"/>
  <c r="V54" i="9" s="1"/>
  <c r="M115" i="7"/>
  <c r="AQ23" i="7"/>
  <c r="F21" i="9" s="1"/>
  <c r="O41" i="9" s="1"/>
  <c r="E21" i="9"/>
  <c r="O40" i="9" s="1"/>
  <c r="K81" i="9"/>
  <c r="K90" i="9" s="1"/>
  <c r="J57" i="9"/>
  <c r="K80" i="9" s="1"/>
  <c r="P83" i="7"/>
  <c r="BD25" i="7" s="1"/>
  <c r="S22" i="9"/>
  <c r="P55" i="9" s="1"/>
  <c r="BJ16" i="7"/>
  <c r="Y14" i="9" s="1"/>
  <c r="H61" i="9" s="1"/>
  <c r="BH21" i="7"/>
  <c r="W19" i="9" s="1"/>
  <c r="M59" i="9" s="1"/>
  <c r="N77" i="9" s="1"/>
  <c r="N91" i="9" s="1"/>
  <c r="V17" i="9"/>
  <c r="K58" i="9" s="1"/>
  <c r="BI19" i="7"/>
  <c r="O19" i="9"/>
  <c r="M51" i="9" s="1"/>
  <c r="BE21" i="7"/>
  <c r="T19" i="9" s="1"/>
  <c r="M56" i="9" s="1"/>
  <c r="N79" i="9" s="1"/>
  <c r="X16" i="9"/>
  <c r="J60" i="9" s="1"/>
  <c r="K82" i="9" s="1"/>
  <c r="BG20" i="7"/>
  <c r="S109" i="7"/>
  <c r="V109" i="7"/>
  <c r="T48" i="7"/>
  <c r="U82" i="7"/>
  <c r="AP24" i="7"/>
  <c r="AM24" i="7"/>
  <c r="B22" i="9" s="1"/>
  <c r="P37" i="9" s="1"/>
  <c r="H24" i="7"/>
  <c r="R49" i="7"/>
  <c r="V79" i="7" s="1"/>
  <c r="W79" i="7" s="1"/>
  <c r="D50" i="7"/>
  <c r="P50" i="7" s="1"/>
  <c r="AZ22" i="7"/>
  <c r="AT25" i="7"/>
  <c r="I23" i="9" s="1"/>
  <c r="Q45" i="9" s="1"/>
  <c r="G25" i="7"/>
  <c r="AM25" i="7" s="1"/>
  <c r="B23" i="9" s="1"/>
  <c r="Q37" i="9" s="1"/>
  <c r="R22" i="7"/>
  <c r="AX22" i="7"/>
  <c r="V23" i="7"/>
  <c r="AV23" i="7" s="1"/>
  <c r="K21" i="9" s="1"/>
  <c r="O47" i="9" s="1"/>
  <c r="AC51" i="7"/>
  <c r="AE51" i="7" s="1"/>
  <c r="AG51" i="7" s="1"/>
  <c r="V51" i="7" s="1"/>
  <c r="C52" i="7"/>
  <c r="AY24" i="7" s="1"/>
  <c r="N22" i="9" s="1"/>
  <c r="P50" i="9" s="1"/>
  <c r="AF52" i="7"/>
  <c r="R84" i="7"/>
  <c r="L59" i="7"/>
  <c r="AG26" i="7"/>
  <c r="AU26" i="7" s="1"/>
  <c r="J24" i="9" s="1"/>
  <c r="R46" i="9" s="1"/>
  <c r="Z53" i="7"/>
  <c r="T24" i="7"/>
  <c r="U24" i="7"/>
  <c r="W24" i="7" s="1"/>
  <c r="O111" i="7"/>
  <c r="L111" i="7" s="1"/>
  <c r="T84" i="7"/>
  <c r="O27" i="7"/>
  <c r="G26" i="7"/>
  <c r="L26" i="7"/>
  <c r="Q26" i="7" s="1"/>
  <c r="M25" i="7"/>
  <c r="AR25" i="7"/>
  <c r="G23" i="9" s="1"/>
  <c r="Q43" i="9" s="1"/>
  <c r="I56" i="7"/>
  <c r="J56" i="7" s="1"/>
  <c r="BA28" i="7" s="1"/>
  <c r="P26" i="9" s="1"/>
  <c r="T52" i="9" s="1"/>
  <c r="Z25" i="7" l="1"/>
  <c r="AS24" i="7"/>
  <c r="H22" i="9" s="1"/>
  <c r="P44" i="9" s="1"/>
  <c r="M59" i="7"/>
  <c r="BC31" i="7" s="1"/>
  <c r="R29" i="9" s="1"/>
  <c r="W54" i="9" s="1"/>
  <c r="M116" i="7"/>
  <c r="K112" i="7"/>
  <c r="L81" i="9"/>
  <c r="L90" i="9" s="1"/>
  <c r="K57" i="9"/>
  <c r="L80" i="9" s="1"/>
  <c r="AP25" i="7"/>
  <c r="AQ25" i="7" s="1"/>
  <c r="F23" i="9" s="1"/>
  <c r="Q41" i="9" s="1"/>
  <c r="BJ17" i="7"/>
  <c r="Y15" i="9" s="1"/>
  <c r="I61" i="9" s="1"/>
  <c r="AQ24" i="7"/>
  <c r="F22" i="9" s="1"/>
  <c r="P41" i="9" s="1"/>
  <c r="E22" i="9"/>
  <c r="P40" i="9" s="1"/>
  <c r="BH22" i="7"/>
  <c r="W20" i="9" s="1"/>
  <c r="N59" i="9" s="1"/>
  <c r="M20" i="9"/>
  <c r="N48" i="9" s="1"/>
  <c r="P84" i="7"/>
  <c r="BD26" i="7" s="1"/>
  <c r="S23" i="9"/>
  <c r="Q55" i="9" s="1"/>
  <c r="BG21" i="7"/>
  <c r="BE22" i="7"/>
  <c r="T20" i="9" s="1"/>
  <c r="N56" i="9" s="1"/>
  <c r="O20" i="9"/>
  <c r="N51" i="9" s="1"/>
  <c r="X17" i="9"/>
  <c r="K60" i="9" s="1"/>
  <c r="L82" i="9" s="1"/>
  <c r="V18" i="9"/>
  <c r="L58" i="9" s="1"/>
  <c r="BI20" i="7"/>
  <c r="S110" i="7"/>
  <c r="V110" i="7"/>
  <c r="AM26" i="7"/>
  <c r="B24" i="9" s="1"/>
  <c r="R37" i="9" s="1"/>
  <c r="T49" i="7"/>
  <c r="R50" i="7"/>
  <c r="H25" i="7"/>
  <c r="D51" i="7"/>
  <c r="P51" i="7" s="1"/>
  <c r="AZ23" i="7"/>
  <c r="AT26" i="7"/>
  <c r="I24" i="9" s="1"/>
  <c r="R45" i="9" s="1"/>
  <c r="AX23" i="7"/>
  <c r="R23" i="7"/>
  <c r="R85" i="7"/>
  <c r="U83" i="7"/>
  <c r="V24" i="7"/>
  <c r="AV24" i="7" s="1"/>
  <c r="K22" i="9" s="1"/>
  <c r="P47" i="9" s="1"/>
  <c r="AC52" i="7"/>
  <c r="AE52" i="7" s="1"/>
  <c r="AG52" i="7" s="1"/>
  <c r="V52" i="7" s="1"/>
  <c r="C53" i="7"/>
  <c r="AY25" i="7" s="1"/>
  <c r="N23" i="9" s="1"/>
  <c r="Q50" i="9" s="1"/>
  <c r="AF53" i="7"/>
  <c r="AG27" i="7"/>
  <c r="AU27" i="7" s="1"/>
  <c r="J25" i="9" s="1"/>
  <c r="S46" i="9" s="1"/>
  <c r="Z54" i="7"/>
  <c r="U25" i="7"/>
  <c r="W25" i="7" s="1"/>
  <c r="T25" i="7"/>
  <c r="T85" i="7"/>
  <c r="AR26" i="7"/>
  <c r="G24" i="9" s="1"/>
  <c r="R43" i="9" s="1"/>
  <c r="M26" i="7"/>
  <c r="H26" i="7"/>
  <c r="O28" i="7"/>
  <c r="G27" i="7"/>
  <c r="I57" i="7"/>
  <c r="J57" i="7" s="1"/>
  <c r="BA29" i="7" s="1"/>
  <c r="P27" i="9" s="1"/>
  <c r="U52" i="9" s="1"/>
  <c r="L27" i="7"/>
  <c r="Q27" i="7" s="1"/>
  <c r="Z26" i="7" l="1"/>
  <c r="AS25" i="7"/>
  <c r="H23" i="9" s="1"/>
  <c r="Q44" i="9" s="1"/>
  <c r="BJ18" i="7"/>
  <c r="Y16" i="9" s="1"/>
  <c r="J61" i="9" s="1"/>
  <c r="K113" i="7"/>
  <c r="E23" i="9"/>
  <c r="Q40" i="9" s="1"/>
  <c r="M81" i="9"/>
  <c r="M90" i="9" s="1"/>
  <c r="L57" i="9"/>
  <c r="M80" i="9" s="1"/>
  <c r="BJ19" i="7"/>
  <c r="Y17" i="9" s="1"/>
  <c r="K61" i="9" s="1"/>
  <c r="P85" i="7"/>
  <c r="BD27" i="7" s="1"/>
  <c r="S24" i="9"/>
  <c r="R55" i="9" s="1"/>
  <c r="BH23" i="7"/>
  <c r="W21" i="9" s="1"/>
  <c r="O59" i="9" s="1"/>
  <c r="M21" i="9"/>
  <c r="O48" i="9" s="1"/>
  <c r="P76" i="9" s="1"/>
  <c r="BE23" i="7"/>
  <c r="T21" i="9" s="1"/>
  <c r="O56" i="9" s="1"/>
  <c r="O21" i="9"/>
  <c r="O51" i="9" s="1"/>
  <c r="BG22" i="7"/>
  <c r="X18" i="9"/>
  <c r="L60" i="9" s="1"/>
  <c r="M82" i="9" s="1"/>
  <c r="V19" i="9"/>
  <c r="M58" i="9" s="1"/>
  <c r="BI21" i="7"/>
  <c r="S111" i="7"/>
  <c r="V111" i="7"/>
  <c r="U84" i="7"/>
  <c r="AP26" i="7"/>
  <c r="R86" i="7"/>
  <c r="O112" i="7"/>
  <c r="L112" i="7" s="1"/>
  <c r="T50" i="7"/>
  <c r="AM27" i="7"/>
  <c r="B25" i="9" s="1"/>
  <c r="S37" i="9" s="1"/>
  <c r="V80" i="7"/>
  <c r="W80" i="7" s="1"/>
  <c r="AT27" i="7"/>
  <c r="I25" i="9" s="1"/>
  <c r="S45" i="9" s="1"/>
  <c r="R51" i="7"/>
  <c r="V81" i="7" s="1"/>
  <c r="R24" i="7"/>
  <c r="AX24" i="7"/>
  <c r="D52" i="7"/>
  <c r="P52" i="7" s="1"/>
  <c r="AZ24" i="7"/>
  <c r="V25" i="7"/>
  <c r="AV25" i="7" s="1"/>
  <c r="K23" i="9" s="1"/>
  <c r="Q47" i="9" s="1"/>
  <c r="AC53" i="7"/>
  <c r="AE53" i="7" s="1"/>
  <c r="AG53" i="7" s="1"/>
  <c r="V53" i="7" s="1"/>
  <c r="C54" i="7"/>
  <c r="AY26" i="7" s="1"/>
  <c r="N24" i="9" s="1"/>
  <c r="R50" i="9" s="1"/>
  <c r="AF54" i="7"/>
  <c r="AG28" i="7"/>
  <c r="AU28" i="7" s="1"/>
  <c r="J26" i="9" s="1"/>
  <c r="T46" i="9" s="1"/>
  <c r="Z55" i="7"/>
  <c r="T26" i="7"/>
  <c r="U26" i="7"/>
  <c r="W26" i="7" s="1"/>
  <c r="O113" i="7"/>
  <c r="L113" i="7" s="1"/>
  <c r="T86" i="7"/>
  <c r="O29" i="7"/>
  <c r="G28" i="7"/>
  <c r="I59" i="7"/>
  <c r="J59" i="7" s="1"/>
  <c r="BA31" i="7" s="1"/>
  <c r="P29" i="9" s="1"/>
  <c r="W52" i="9" s="1"/>
  <c r="I58" i="7"/>
  <c r="J58" i="7" s="1"/>
  <c r="BA30" i="7" s="1"/>
  <c r="P28" i="9" s="1"/>
  <c r="V52" i="9" s="1"/>
  <c r="L28" i="7"/>
  <c r="Q28" i="7" s="1"/>
  <c r="AR27" i="7"/>
  <c r="G25" i="9" s="1"/>
  <c r="S43" i="9" s="1"/>
  <c r="M27" i="7"/>
  <c r="H27" i="7"/>
  <c r="A11" i="5"/>
  <c r="A12" i="5" s="1"/>
  <c r="A13" i="5" s="1"/>
  <c r="A14" i="5" s="1"/>
  <c r="Z27" i="7" l="1"/>
  <c r="AS26" i="7"/>
  <c r="H24" i="9" s="1"/>
  <c r="R44" i="9" s="1"/>
  <c r="K114" i="7"/>
  <c r="AP27" i="7"/>
  <c r="AQ27" i="7" s="1"/>
  <c r="F25" i="9" s="1"/>
  <c r="S41" i="9" s="1"/>
  <c r="N81" i="9"/>
  <c r="N90" i="9" s="1"/>
  <c r="M57" i="9"/>
  <c r="N80" i="9" s="1"/>
  <c r="BJ20" i="7"/>
  <c r="Y18" i="9" s="1"/>
  <c r="L61" i="9" s="1"/>
  <c r="AQ26" i="7"/>
  <c r="F24" i="9" s="1"/>
  <c r="R41" i="9" s="1"/>
  <c r="E24" i="9"/>
  <c r="R40" i="9" s="1"/>
  <c r="BH24" i="7"/>
  <c r="W22" i="9" s="1"/>
  <c r="P59" i="9" s="1"/>
  <c r="M22" i="9"/>
  <c r="P48" i="9" s="1"/>
  <c r="P86" i="7"/>
  <c r="BD28" i="7" s="1"/>
  <c r="S25" i="9"/>
  <c r="S55" i="9" s="1"/>
  <c r="X19" i="9"/>
  <c r="M60" i="9" s="1"/>
  <c r="N82" i="9" s="1"/>
  <c r="O22" i="9"/>
  <c r="P51" i="9" s="1"/>
  <c r="BE24" i="7"/>
  <c r="T22" i="9" s="1"/>
  <c r="P56" i="9" s="1"/>
  <c r="V20" i="9"/>
  <c r="N58" i="9" s="1"/>
  <c r="N57" i="9" s="1"/>
  <c r="BI22" i="7"/>
  <c r="BG23" i="7"/>
  <c r="S112" i="7"/>
  <c r="V112" i="7"/>
  <c r="W81" i="7"/>
  <c r="AM28" i="7"/>
  <c r="B26" i="9" s="1"/>
  <c r="T37" i="9" s="1"/>
  <c r="R52" i="7"/>
  <c r="V82" i="7" s="1"/>
  <c r="T51" i="7"/>
  <c r="AT28" i="7"/>
  <c r="I26" i="9" s="1"/>
  <c r="T45" i="9" s="1"/>
  <c r="D53" i="7"/>
  <c r="P53" i="7" s="1"/>
  <c r="AZ25" i="7"/>
  <c r="R25" i="7"/>
  <c r="AX25" i="7"/>
  <c r="R87" i="7"/>
  <c r="C55" i="7"/>
  <c r="AY27" i="7" s="1"/>
  <c r="N25" i="9" s="1"/>
  <c r="S50" i="9" s="1"/>
  <c r="AF55" i="7"/>
  <c r="V26" i="7"/>
  <c r="AV26" i="7" s="1"/>
  <c r="K24" i="9" s="1"/>
  <c r="R47" i="9" s="1"/>
  <c r="AC54" i="7"/>
  <c r="AE54" i="7" s="1"/>
  <c r="AG54" i="7" s="1"/>
  <c r="V54" i="7" s="1"/>
  <c r="U85" i="7"/>
  <c r="AG29" i="7"/>
  <c r="AU29" i="7" s="1"/>
  <c r="J27" i="9" s="1"/>
  <c r="U46" i="9" s="1"/>
  <c r="Z56" i="7"/>
  <c r="T27" i="7"/>
  <c r="U27" i="7"/>
  <c r="W27" i="7" s="1"/>
  <c r="O114" i="7"/>
  <c r="L114" i="7" s="1"/>
  <c r="T87" i="7"/>
  <c r="M28" i="7"/>
  <c r="AR28" i="7"/>
  <c r="G26" i="9" s="1"/>
  <c r="T43" i="9" s="1"/>
  <c r="H28" i="7"/>
  <c r="O30" i="7"/>
  <c r="G29" i="7"/>
  <c r="L29" i="7"/>
  <c r="Q29" i="7" s="1"/>
  <c r="Z28" i="7" l="1"/>
  <c r="AS27" i="7"/>
  <c r="H25" i="9" s="1"/>
  <c r="S44" i="9" s="1"/>
  <c r="BJ21" i="7"/>
  <c r="Y19" i="9" s="1"/>
  <c r="M61" i="9" s="1"/>
  <c r="K115" i="7"/>
  <c r="E25" i="9"/>
  <c r="S40" i="9" s="1"/>
  <c r="AP28" i="7"/>
  <c r="AQ28" i="7" s="1"/>
  <c r="F26" i="9" s="1"/>
  <c r="T41" i="9" s="1"/>
  <c r="T52" i="7"/>
  <c r="W82" i="7"/>
  <c r="P87" i="7"/>
  <c r="BD29" i="7" s="1"/>
  <c r="S26" i="9"/>
  <c r="T55" i="9" s="1"/>
  <c r="BH25" i="7"/>
  <c r="W23" i="9" s="1"/>
  <c r="Q59" i="9" s="1"/>
  <c r="M23" i="9"/>
  <c r="Q48" i="9" s="1"/>
  <c r="V21" i="9"/>
  <c r="O58" i="9" s="1"/>
  <c r="O57" i="9" s="1"/>
  <c r="BI23" i="7"/>
  <c r="BE25" i="7"/>
  <c r="T23" i="9" s="1"/>
  <c r="Q56" i="9" s="1"/>
  <c r="O23" i="9"/>
  <c r="Q51" i="9" s="1"/>
  <c r="X20" i="9"/>
  <c r="N60" i="9" s="1"/>
  <c r="BG24" i="7"/>
  <c r="S113" i="7"/>
  <c r="V113" i="7"/>
  <c r="AM29" i="7"/>
  <c r="B27" i="9" s="1"/>
  <c r="U37" i="9" s="1"/>
  <c r="AT29" i="7"/>
  <c r="I27" i="9" s="1"/>
  <c r="U45" i="9" s="1"/>
  <c r="R53" i="7"/>
  <c r="V83" i="7" s="1"/>
  <c r="D54" i="7"/>
  <c r="P54" i="7" s="1"/>
  <c r="AZ26" i="7"/>
  <c r="R26" i="7"/>
  <c r="AX26" i="7"/>
  <c r="R88" i="7"/>
  <c r="V27" i="7"/>
  <c r="AV27" i="7" s="1"/>
  <c r="K25" i="9" s="1"/>
  <c r="S47" i="9" s="1"/>
  <c r="AC55" i="7"/>
  <c r="AE55" i="7" s="1"/>
  <c r="AG55" i="7" s="1"/>
  <c r="V55" i="7" s="1"/>
  <c r="C56" i="7"/>
  <c r="AY28" i="7" s="1"/>
  <c r="N26" i="9" s="1"/>
  <c r="T50" i="9" s="1"/>
  <c r="AF56" i="7"/>
  <c r="U86" i="7"/>
  <c r="AG30" i="7"/>
  <c r="AU30" i="7" s="1"/>
  <c r="J28" i="9" s="1"/>
  <c r="V46" i="9" s="1"/>
  <c r="Z57" i="7"/>
  <c r="T28" i="7"/>
  <c r="U28" i="7"/>
  <c r="W28" i="7" s="1"/>
  <c r="O115" i="7"/>
  <c r="L115" i="7" s="1"/>
  <c r="T88" i="7"/>
  <c r="AR29" i="7"/>
  <c r="G27" i="9" s="1"/>
  <c r="U43" i="9" s="1"/>
  <c r="M29" i="7"/>
  <c r="O31" i="7"/>
  <c r="G30" i="7"/>
  <c r="H29" i="7"/>
  <c r="L30" i="7"/>
  <c r="Q30" i="7" s="1"/>
  <c r="L31" i="7"/>
  <c r="Q31" i="7" s="1"/>
  <c r="BJ22" i="7" l="1"/>
  <c r="Y20" i="9" s="1"/>
  <c r="N61" i="9" s="1"/>
  <c r="Z29" i="7"/>
  <c r="AS28" i="7"/>
  <c r="H26" i="9" s="1"/>
  <c r="T44" i="9" s="1"/>
  <c r="E26" i="9"/>
  <c r="T40" i="9" s="1"/>
  <c r="W83" i="7"/>
  <c r="K116" i="7"/>
  <c r="P88" i="7"/>
  <c r="BD30" i="7" s="1"/>
  <c r="S27" i="9"/>
  <c r="U55" i="9" s="1"/>
  <c r="BH26" i="7"/>
  <c r="W24" i="9" s="1"/>
  <c r="R59" i="9" s="1"/>
  <c r="M24" i="9"/>
  <c r="R48" i="9" s="1"/>
  <c r="V22" i="9"/>
  <c r="P58" i="9" s="1"/>
  <c r="P57" i="9" s="1"/>
  <c r="BI24" i="7"/>
  <c r="O24" i="9"/>
  <c r="R51" i="9" s="1"/>
  <c r="BE26" i="7"/>
  <c r="T24" i="9" s="1"/>
  <c r="R56" i="9" s="1"/>
  <c r="BJ23" i="7"/>
  <c r="Y21" i="9" s="1"/>
  <c r="O61" i="9" s="1"/>
  <c r="X21" i="9"/>
  <c r="O60" i="9" s="1"/>
  <c r="BG25" i="7"/>
  <c r="S114" i="7"/>
  <c r="V114" i="7"/>
  <c r="U87" i="7"/>
  <c r="AP29" i="7"/>
  <c r="AM30" i="7"/>
  <c r="B28" i="9" s="1"/>
  <c r="V37" i="9" s="1"/>
  <c r="AT30" i="7"/>
  <c r="I28" i="9" s="1"/>
  <c r="V45" i="9" s="1"/>
  <c r="R89" i="7"/>
  <c r="AX27" i="7"/>
  <c r="R27" i="7"/>
  <c r="R54" i="7"/>
  <c r="V84" i="7" s="1"/>
  <c r="D55" i="7"/>
  <c r="P55" i="7" s="1"/>
  <c r="AZ27" i="7"/>
  <c r="T53" i="7"/>
  <c r="C57" i="7"/>
  <c r="AY29" i="7" s="1"/>
  <c r="N27" i="9" s="1"/>
  <c r="U50" i="9" s="1"/>
  <c r="AF57" i="7"/>
  <c r="V28" i="7"/>
  <c r="AV28" i="7" s="1"/>
  <c r="K26" i="9" s="1"/>
  <c r="T47" i="9" s="1"/>
  <c r="AC56" i="7"/>
  <c r="AE56" i="7" s="1"/>
  <c r="AG56" i="7" s="1"/>
  <c r="V56" i="7" s="1"/>
  <c r="AG31" i="7"/>
  <c r="AU31" i="7" s="1"/>
  <c r="J29" i="9" s="1"/>
  <c r="W46" i="9" s="1"/>
  <c r="Z58" i="7"/>
  <c r="T29" i="7"/>
  <c r="U29" i="7"/>
  <c r="W29" i="7" s="1"/>
  <c r="O116" i="7"/>
  <c r="L116" i="7" s="1"/>
  <c r="T89" i="7"/>
  <c r="M31" i="7"/>
  <c r="H30" i="7"/>
  <c r="AR30" i="7"/>
  <c r="G28" i="9" s="1"/>
  <c r="V43" i="9" s="1"/>
  <c r="M30" i="7"/>
  <c r="G31" i="7"/>
  <c r="Z30" i="7" l="1"/>
  <c r="AS29" i="7"/>
  <c r="H27" i="9" s="1"/>
  <c r="U44" i="9" s="1"/>
  <c r="W84" i="7"/>
  <c r="AP30" i="7"/>
  <c r="AQ30" i="7" s="1"/>
  <c r="F28" i="9" s="1"/>
  <c r="V41" i="9" s="1"/>
  <c r="AR31" i="7"/>
  <c r="G29" i="9" s="1"/>
  <c r="W43" i="9" s="1"/>
  <c r="AQ29" i="7"/>
  <c r="F27" i="9" s="1"/>
  <c r="U41" i="9" s="1"/>
  <c r="E27" i="9"/>
  <c r="U40" i="9" s="1"/>
  <c r="BH27" i="7"/>
  <c r="W25" i="9" s="1"/>
  <c r="S59" i="9" s="1"/>
  <c r="M25" i="9"/>
  <c r="S48" i="9" s="1"/>
  <c r="P89" i="7"/>
  <c r="BD31" i="7" s="1"/>
  <c r="S28" i="9"/>
  <c r="V55" i="9" s="1"/>
  <c r="BG26" i="7"/>
  <c r="BJ24" i="7"/>
  <c r="Y22" i="9" s="1"/>
  <c r="P61" i="9" s="1"/>
  <c r="X22" i="9"/>
  <c r="P60" i="9" s="1"/>
  <c r="V23" i="9"/>
  <c r="Q58" i="9" s="1"/>
  <c r="Q57" i="9" s="1"/>
  <c r="BI25" i="7"/>
  <c r="O25" i="9"/>
  <c r="S51" i="9" s="1"/>
  <c r="BE27" i="7"/>
  <c r="T25" i="9" s="1"/>
  <c r="S56" i="9" s="1"/>
  <c r="S115" i="7"/>
  <c r="V115" i="7"/>
  <c r="R55" i="7"/>
  <c r="V85" i="7" s="1"/>
  <c r="W85" i="7" s="1"/>
  <c r="AM31" i="7"/>
  <c r="B29" i="9" s="1"/>
  <c r="W37" i="9" s="1"/>
  <c r="AT31" i="7"/>
  <c r="I29" i="9" s="1"/>
  <c r="W45" i="9" s="1"/>
  <c r="T54" i="7"/>
  <c r="AX28" i="7"/>
  <c r="R28" i="7"/>
  <c r="D56" i="7"/>
  <c r="P56" i="7" s="1"/>
  <c r="AZ28" i="7"/>
  <c r="V29" i="7"/>
  <c r="AV29" i="7" s="1"/>
  <c r="K27" i="9" s="1"/>
  <c r="U47" i="9" s="1"/>
  <c r="AC57" i="7"/>
  <c r="AE57" i="7" s="1"/>
  <c r="AG57" i="7" s="1"/>
  <c r="V57" i="7" s="1"/>
  <c r="C58" i="7"/>
  <c r="AY30" i="7" s="1"/>
  <c r="N28" i="9" s="1"/>
  <c r="V50" i="9" s="1"/>
  <c r="AF58" i="7"/>
  <c r="U88" i="7"/>
  <c r="Z59" i="7"/>
  <c r="T31" i="7"/>
  <c r="AC59" i="7" s="1"/>
  <c r="AE59" i="7" s="1"/>
  <c r="U31" i="7"/>
  <c r="T30" i="7"/>
  <c r="U30" i="7"/>
  <c r="W30" i="7" s="1"/>
  <c r="H31" i="7"/>
  <c r="E28" i="9" l="1"/>
  <c r="V40" i="9" s="1"/>
  <c r="Z31" i="7"/>
  <c r="AS31" i="7" s="1"/>
  <c r="H29" i="9" s="1"/>
  <c r="W44" i="9" s="1"/>
  <c r="AS30" i="7"/>
  <c r="H28" i="9" s="1"/>
  <c r="V44" i="9" s="1"/>
  <c r="S29" i="9"/>
  <c r="W55" i="9" s="1"/>
  <c r="T55" i="7"/>
  <c r="R56" i="7"/>
  <c r="AP31" i="7"/>
  <c r="E29" i="9" s="1"/>
  <c r="W40" i="9" s="1"/>
  <c r="BH28" i="7"/>
  <c r="W26" i="9" s="1"/>
  <c r="T59" i="9" s="1"/>
  <c r="M26" i="9"/>
  <c r="T48" i="9" s="1"/>
  <c r="BG27" i="7"/>
  <c r="BJ25" i="7"/>
  <c r="Y23" i="9" s="1"/>
  <c r="Q61" i="9" s="1"/>
  <c r="X23" i="9"/>
  <c r="Q60" i="9" s="1"/>
  <c r="O26" i="9"/>
  <c r="T51" i="9" s="1"/>
  <c r="BE28" i="7"/>
  <c r="T26" i="9" s="1"/>
  <c r="T56" i="9" s="1"/>
  <c r="V24" i="9"/>
  <c r="R58" i="9" s="1"/>
  <c r="R57" i="9" s="1"/>
  <c r="BI26" i="7"/>
  <c r="S116" i="7"/>
  <c r="V116" i="7"/>
  <c r="D57" i="7"/>
  <c r="P57" i="7" s="1"/>
  <c r="AZ29" i="7"/>
  <c r="AX29" i="7"/>
  <c r="R29" i="7"/>
  <c r="V30" i="7"/>
  <c r="AV30" i="7" s="1"/>
  <c r="K28" i="9" s="1"/>
  <c r="V47" i="9" s="1"/>
  <c r="AC58" i="7"/>
  <c r="AE58" i="7" s="1"/>
  <c r="AG58" i="7" s="1"/>
  <c r="V58" i="7" s="1"/>
  <c r="C59" i="7"/>
  <c r="AY31" i="7" s="1"/>
  <c r="N29" i="9" s="1"/>
  <c r="W50" i="9" s="1"/>
  <c r="AF59" i="7"/>
  <c r="AG59" i="7" s="1"/>
  <c r="V59" i="7" s="1"/>
  <c r="U89" i="7"/>
  <c r="V31" i="7"/>
  <c r="V32" i="7" s="1"/>
  <c r="W31" i="7"/>
  <c r="W32" i="7" s="1"/>
  <c r="AQ31" i="7" l="1"/>
  <c r="F29" i="9" s="1"/>
  <c r="W41" i="9" s="1"/>
  <c r="AV31" i="7"/>
  <c r="T56" i="7"/>
  <c r="V86" i="7"/>
  <c r="W86" i="7" s="1"/>
  <c r="BH29" i="7"/>
  <c r="W27" i="9" s="1"/>
  <c r="U59" i="9" s="1"/>
  <c r="M27" i="9"/>
  <c r="U48" i="9" s="1"/>
  <c r="BJ26" i="7"/>
  <c r="Y24" i="9" s="1"/>
  <c r="R61" i="9" s="1"/>
  <c r="X24" i="9"/>
  <c r="R60" i="9" s="1"/>
  <c r="O27" i="9"/>
  <c r="U51" i="9" s="1"/>
  <c r="BE29" i="7"/>
  <c r="T27" i="9" s="1"/>
  <c r="U56" i="9" s="1"/>
  <c r="BG28" i="7"/>
  <c r="V25" i="9"/>
  <c r="S58" i="9" s="1"/>
  <c r="S57" i="9" s="1"/>
  <c r="BI27" i="7"/>
  <c r="R57" i="7"/>
  <c r="V87" i="7" s="1"/>
  <c r="R30" i="7"/>
  <c r="AX30" i="7"/>
  <c r="R31" i="7"/>
  <c r="R32" i="7" s="1"/>
  <c r="S32" i="7" s="1"/>
  <c r="AX31" i="7"/>
  <c r="D58" i="7"/>
  <c r="P58" i="7" s="1"/>
  <c r="AZ30" i="7"/>
  <c r="D59" i="7"/>
  <c r="P59" i="7" s="1"/>
  <c r="AZ31" i="7"/>
  <c r="K29" i="9" l="1"/>
  <c r="W47" i="9" s="1"/>
  <c r="AV32" i="7"/>
  <c r="R58" i="7"/>
  <c r="V88" i="7" s="1"/>
  <c r="W87" i="7"/>
  <c r="BG29" i="7"/>
  <c r="V27" i="9" s="1"/>
  <c r="U58" i="9" s="1"/>
  <c r="U57" i="9" s="1"/>
  <c r="BH31" i="7"/>
  <c r="W29" i="9" s="1"/>
  <c r="W59" i="9" s="1"/>
  <c r="M29" i="9"/>
  <c r="W48" i="9" s="1"/>
  <c r="BH30" i="7"/>
  <c r="W28" i="9" s="1"/>
  <c r="V59" i="9" s="1"/>
  <c r="M28" i="9"/>
  <c r="V48" i="9" s="1"/>
  <c r="V26" i="9"/>
  <c r="T58" i="9" s="1"/>
  <c r="T57" i="9" s="1"/>
  <c r="BI28" i="7"/>
  <c r="BJ27" i="7"/>
  <c r="Y25" i="9" s="1"/>
  <c r="S61" i="9" s="1"/>
  <c r="X25" i="9"/>
  <c r="S60" i="9" s="1"/>
  <c r="BE31" i="7"/>
  <c r="T29" i="9" s="1"/>
  <c r="W56" i="9" s="1"/>
  <c r="O29" i="9"/>
  <c r="W51" i="9" s="1"/>
  <c r="O28" i="9"/>
  <c r="V51" i="9" s="1"/>
  <c r="BE30" i="7"/>
  <c r="T28" i="9" s="1"/>
  <c r="V56" i="9" s="1"/>
  <c r="T57" i="7"/>
  <c r="R59" i="7"/>
  <c r="BI32" i="7" s="1"/>
  <c r="T58" i="7" l="1"/>
  <c r="T59" i="7" s="1"/>
  <c r="BJ32" i="7" s="1"/>
  <c r="BI29" i="7"/>
  <c r="X27" i="9" s="1"/>
  <c r="U60" i="9" s="1"/>
  <c r="W88" i="7"/>
  <c r="BG30" i="7"/>
  <c r="V28" i="9" s="1"/>
  <c r="V58" i="9" s="1"/>
  <c r="V57" i="9" s="1"/>
  <c r="BG31" i="7"/>
  <c r="BJ28" i="7"/>
  <c r="Y26" i="9" s="1"/>
  <c r="T61" i="9" s="1"/>
  <c r="X26" i="9"/>
  <c r="T60" i="9" s="1"/>
  <c r="V89" i="7"/>
  <c r="W89" i="7" l="1"/>
  <c r="BI30" i="7"/>
  <c r="BJ29" i="7"/>
  <c r="Y27" i="9" s="1"/>
  <c r="U61" i="9" s="1"/>
  <c r="V29" i="9"/>
  <c r="W58" i="9" s="1"/>
  <c r="W57" i="9" s="1"/>
  <c r="BI31" i="7"/>
  <c r="BJ30" i="7" l="1"/>
  <c r="Y28" i="9" s="1"/>
  <c r="V61" i="9" s="1"/>
  <c r="X28" i="9"/>
  <c r="V60" i="9" s="1"/>
  <c r="X29" i="9"/>
  <c r="W60" i="9" s="1"/>
  <c r="BJ31" i="7"/>
  <c r="Y29" i="9" s="1"/>
  <c r="W61" i="9" s="1"/>
</calcChain>
</file>

<file path=xl/sharedStrings.xml><?xml version="1.0" encoding="utf-8"?>
<sst xmlns="http://schemas.openxmlformats.org/spreadsheetml/2006/main" count="510" uniqueCount="358">
  <si>
    <t>As a % of Solar ACP:</t>
  </si>
  <si>
    <t>Energy Year</t>
  </si>
  <si>
    <t>SACP
($/MWh)</t>
  </si>
  <si>
    <t>($)</t>
  </si>
  <si>
    <t>SREC</t>
  </si>
  <si>
    <t>(MWh)</t>
  </si>
  <si>
    <t>Solar</t>
  </si>
  <si>
    <t>Installed</t>
  </si>
  <si>
    <t>(MW)</t>
  </si>
  <si>
    <t>SREC Solar</t>
  </si>
  <si>
    <t>TREC Solar</t>
  </si>
  <si>
    <t>Precursor variables to get to dollar benefits</t>
  </si>
  <si>
    <t>NJ</t>
  </si>
  <si>
    <t>Projected Total Paid ($)</t>
  </si>
  <si>
    <t>Cap Space ($)</t>
  </si>
  <si>
    <t>Revenue from Sales</t>
  </si>
  <si>
    <t>Electricity Sales</t>
  </si>
  <si>
    <t>(percent of denominator)</t>
  </si>
  <si>
    <t>Cum. SREC and TREC</t>
  </si>
  <si>
    <t>Cost of Cumulative Capacity</t>
  </si>
  <si>
    <r>
      <t>production</t>
    </r>
    <r>
      <rPr>
        <vertAlign val="superscript"/>
        <sz val="11"/>
        <color theme="1"/>
        <rFont val="Calibri"/>
        <family val="2"/>
        <scheme val="minor"/>
      </rPr>
      <t>3</t>
    </r>
  </si>
  <si>
    <t>MW</t>
  </si>
  <si>
    <t>$ Paid</t>
  </si>
  <si>
    <t>OREC</t>
  </si>
  <si>
    <t>MWh</t>
  </si>
  <si>
    <t xml:space="preserve">Value of Retired RECs
</t>
  </si>
  <si>
    <t>&lt;---------------  C    O    S    T    S     (Sub-table 1a)   --------------&gt;</t>
  </si>
  <si>
    <t>&lt;---------------  B    E    N    E    F    I    T    S       (Sub-table 1b)     ---------------&gt;</t>
  </si>
  <si>
    <t>Cost Cap Percent</t>
  </si>
  <si>
    <t>After 2024 hold Class I REC price ($/MWh) at:</t>
  </si>
  <si>
    <t>Benefit from reducing Class I REC obligation
($)</t>
  </si>
  <si>
    <t>Total Class I REC 
(solar and non-solar)</t>
  </si>
  <si>
    <t>Cum. Installed as of Nov 30 of each EY</t>
  </si>
  <si>
    <t>Cumulative Legacy SREC Cost</t>
  </si>
  <si>
    <t>Cumulative Installed</t>
  </si>
  <si>
    <t>Cum. BTM host-owned TREC Program*</t>
  </si>
  <si>
    <t>Cum. BTM host-owned SREC*</t>
  </si>
  <si>
    <t>BTM host-owned cumulative</t>
  </si>
  <si>
    <t>Cum. BTM host-owned Successor Program**</t>
  </si>
  <si>
    <t>Cost of BTM host-owned cumulative</t>
  </si>
  <si>
    <t>**BTM host-owned Successor Program assumes that 46% of NM installed systems are host-owned</t>
  </si>
  <si>
    <t>*BTM host-owned SREC and TREC are actuals only as of Jan. 2021, do not include capacity forecasted to come online in EY21 and EY22</t>
  </si>
  <si>
    <t>Capacity DRIPE benefit of new build
($)</t>
  </si>
  <si>
    <t>Capacity Factor</t>
  </si>
  <si>
    <t>Basic grid supply</t>
  </si>
  <si>
    <t>Prefered land use grid supply</t>
  </si>
  <si>
    <t>Community Solar (LMI)</t>
  </si>
  <si>
    <r>
      <t xml:space="preserve">Net-metered 
</t>
    </r>
    <r>
      <rPr>
        <sz val="11"/>
        <color theme="1"/>
        <rFont val="Calibri"/>
        <family val="2"/>
      </rPr>
      <t>≤ 2 MW</t>
    </r>
  </si>
  <si>
    <t>Non-residential
&gt;2 MW</t>
  </si>
  <si>
    <t>Total Cost of Successor Program (minus benefits) 
($)</t>
  </si>
  <si>
    <t>Annual Surplus or Deficit
($)</t>
  </si>
  <si>
    <t>(w/out Successor REC)</t>
  </si>
  <si>
    <t>Green cells are input variables that can be changed to affect scenario outputs (cap space and head room)</t>
  </si>
  <si>
    <t>3-year moving avg
(actual from EIA)</t>
  </si>
  <si>
    <t>denominator (cap% times column G)</t>
  </si>
  <si>
    <t>Annual Head Room</t>
  </si>
  <si>
    <t>Annual Head Room with carry over</t>
  </si>
  <si>
    <t>Sub-table 4. Calculate Annual Head Room</t>
  </si>
  <si>
    <t>Sub-table 3. Calculate Cost Cap Space</t>
  </si>
  <si>
    <t>Cap space (sub-table 3) - costs (sub-table 1a) + benefits (sub-table 1b)</t>
  </si>
  <si>
    <t>Sub-table 2a. Denominator Inputs</t>
  </si>
  <si>
    <t>Plus adjustments adjustments to denominator (sub-table 2b) ($)</t>
  </si>
  <si>
    <t>Assume Net OREC is $50/MWh and 350 MW coming on line anually in EY2025-2027 and 750 MW/yr 2028-2030; Capacity factor for OSW = 0.35</t>
  </si>
  <si>
    <t>Assume 10-year financing period for host-owned (e.g. EY 2019 BTM includes projects installed between June 2009 and May 2019); Assume paid amount of $100,000/yr per MW installed.</t>
  </si>
  <si>
    <t>Sub-table 2b. Adjustments to Denominator</t>
  </si>
  <si>
    <t>Indicates actual data for EY19 and EY20 (later years are estimates)</t>
  </si>
  <si>
    <t>Sub-table 1. Numerator Inputs</t>
  </si>
  <si>
    <t>Sub-table 5a. Successor Program Incentive Value</t>
  </si>
  <si>
    <t>Sub-table 5b. Successor Program Annual MW Targets</t>
  </si>
  <si>
    <t>Sub-table 5c. Successor Program Cost</t>
  </si>
  <si>
    <t>*Successor Program production counted in first full energy year after installation.</t>
  </si>
  <si>
    <r>
      <t>TREC</t>
    </r>
    <r>
      <rPr>
        <vertAlign val="superscript"/>
        <sz val="11"/>
        <color theme="1"/>
        <rFont val="Calibri"/>
        <family val="2"/>
        <scheme val="minor"/>
      </rPr>
      <t>2</t>
    </r>
  </si>
  <si>
    <r>
      <t>Non-solar Class I RECs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</si>
  <si>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SREC Retirements</t>
    </r>
    <r>
      <rPr>
        <vertAlign val="superscript"/>
        <sz val="11"/>
        <color theme="1"/>
        <rFont val="Calibri"/>
        <family val="2"/>
        <scheme val="minor"/>
      </rPr>
      <t>1</t>
    </r>
  </si>
  <si>
    <t>($/MWh)</t>
  </si>
  <si>
    <t>Total Class I RPS Costs</t>
  </si>
  <si>
    <t>RPS obligation</t>
  </si>
  <si>
    <r>
      <t>Capacity DRIPE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</si>
  <si>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t>Incentive Value Reduction
(evey 3 years)</t>
  </si>
  <si>
    <t>Staff estimates, except when actual retirement data is available. Net out TREC, SREC and OREC from total RPS obligation when applicable. Assume cost of out-of-state Class I REC on open market is $13/MWh.</t>
  </si>
  <si>
    <t>Staff estimates.</t>
  </si>
  <si>
    <t>Solar production based on annual 1,154 MWh/MW installed.</t>
  </si>
  <si>
    <t>Capcacity DRIPE from JCPL EE filing $0.000833/MWh, and multiply by 0.42 for conversion from ICAP to UCAP.</t>
  </si>
  <si>
    <t>Energy DRIPE:  Using $0.0000095 per MWh for all MWh sold in NJ per each MW solar capacity installed. See references in Straw Proposal.</t>
  </si>
  <si>
    <t>DRAFT FOR STAKEHOLDER DISCUSSION</t>
  </si>
  <si>
    <t>Footnotes from Cost Cap Tool:</t>
  </si>
  <si>
    <t>SOLAR TRANSITION: COST CAP TOOL</t>
  </si>
  <si>
    <r>
      <t xml:space="preserve">The Solar Transition: Cost Cap Tool is a working document that is being provided </t>
    </r>
    <r>
      <rPr>
        <u/>
        <sz val="13"/>
        <color theme="1"/>
        <rFont val="Calibri"/>
        <family val="2"/>
        <scheme val="minor"/>
      </rPr>
      <t>for informational purposes only</t>
    </r>
    <r>
      <rPr>
        <sz val="13"/>
        <color theme="1"/>
        <rFont val="Calibri"/>
        <family val="2"/>
        <scheme val="minor"/>
      </rPr>
      <t xml:space="preserve"> to support discussions with stakeholders in the context of the </t>
    </r>
    <r>
      <rPr>
        <b/>
        <sz val="13"/>
        <color theme="1"/>
        <rFont val="Calibri"/>
        <family val="2"/>
        <scheme val="minor"/>
      </rPr>
      <t>Solar Successor Program: Staff Straw Proposal</t>
    </r>
    <r>
      <rPr>
        <sz val="13"/>
        <color theme="1"/>
        <rFont val="Calibri"/>
        <family val="2"/>
        <scheme val="minor"/>
      </rPr>
      <t xml:space="preserve">. Many of the assumptions used in this Cost Cap Tool are placeholders, and are intended to be updated based on stakeholder feedback and data availability. </t>
    </r>
    <r>
      <rPr>
        <b/>
        <sz val="13"/>
        <color theme="1"/>
        <rFont val="Calibri"/>
        <family val="2"/>
        <scheme val="minor"/>
      </rPr>
      <t>Do not use this spreadsheet for guidance on the Board's policy or Staff forecasts for program performance.</t>
    </r>
  </si>
  <si>
    <t>Solar Transition:  Cost Cap Tool</t>
  </si>
  <si>
    <t>Draft for Stakeholder Discussion 04-07-2021</t>
  </si>
  <si>
    <t>SREC RPS</t>
  </si>
  <si>
    <t>Annual TREC Additions MW</t>
  </si>
  <si>
    <t>Original</t>
  </si>
  <si>
    <t>Additional Benefits</t>
  </si>
  <si>
    <t>Estimated Cogen Payments $/Yr (300 MW @ 80% CF, $60/MWh for Energy and Capacity, esclating at 2%/yr)</t>
  </si>
  <si>
    <t>full name</t>
  </si>
  <si>
    <t>api key</t>
  </si>
  <si>
    <t>units</t>
  </si>
  <si>
    <t>All Sectors Average</t>
  </si>
  <si>
    <t>Electricity: End-Use Prices: All Sectors Average</t>
  </si>
  <si>
    <t>62-AEO2021.122.</t>
  </si>
  <si>
    <t>nom cents/kWh</t>
  </si>
  <si>
    <t>Reference case</t>
  </si>
  <si>
    <t>Electricity: End-Use Prices: All Sectors Average: Reference case</t>
  </si>
  <si>
    <t>62-AEO2021.122.ref2021-d113020a</t>
  </si>
  <si>
    <t>EIA Annual Energy Outlook Reference Case for EMM PJM East</t>
  </si>
  <si>
    <t>3 year average</t>
  </si>
  <si>
    <t>Annual Escalation</t>
  </si>
  <si>
    <t>Year</t>
  </si>
  <si>
    <t>Retail Price</t>
  </si>
  <si>
    <t>Nominal Enegy Price Escalation per EIA AEO 2021 Reference Case</t>
  </si>
  <si>
    <t>Average Retail Electric Rate $/kWh</t>
  </si>
  <si>
    <t>ORIGINAL COST CAP CALCULATION 
Surplus or Deficit with Carryover
($)</t>
  </si>
  <si>
    <t>PPA MWh</t>
  </si>
  <si>
    <t>Host-Owned MWh</t>
  </si>
  <si>
    <t>Third Party Owned Percent</t>
  </si>
  <si>
    <t>Host-Owned Savings %</t>
  </si>
  <si>
    <t>PPA Savings %</t>
  </si>
  <si>
    <t>PPA Savings</t>
  </si>
  <si>
    <t>Host-Owned Savings</t>
  </si>
  <si>
    <t>Energy DRIPE (GA Analysis)</t>
  </si>
  <si>
    <t>Energy DRIPE $/Yr</t>
  </si>
  <si>
    <t>Capacity DRIPE $/Yr</t>
  </si>
  <si>
    <t>Volatility Hedge Benefits $/MWh</t>
  </si>
  <si>
    <t>Volatility Hedge Benefits $/Yr</t>
  </si>
  <si>
    <t>Hedge Benefits</t>
  </si>
  <si>
    <t>PPA Payments</t>
  </si>
  <si>
    <t>Estimated PPA MWh</t>
  </si>
  <si>
    <t>EIA Reported MWh</t>
  </si>
  <si>
    <t>Net Unaccounted for PPA MWh</t>
  </si>
  <si>
    <t>Average PPA Rate</t>
  </si>
  <si>
    <t>Additional PPA Payments $/Yr</t>
  </si>
  <si>
    <t>GA - Additional Adjustments to Denominator</t>
  </si>
  <si>
    <t>OSW Capacity Factor</t>
  </si>
  <si>
    <t>Updated Surplus or Deficit with Carryover
($)</t>
  </si>
  <si>
    <t xml:space="preserve">BTM Solar Savings, Full RPS DRIPE (OSW + Out of State), In-State Class I DRIPE, Volatility Hedge </t>
  </si>
  <si>
    <t>Non-residential
&gt;5 MW
@$80/MWh
(MW)</t>
  </si>
  <si>
    <t>Basic grid supply
@$75/MWh
(MW)</t>
  </si>
  <si>
    <t>New Jersey Behind the Meter Solar</t>
  </si>
  <si>
    <r>
      <t xml:space="preserve">Net-metered 
</t>
    </r>
    <r>
      <rPr>
        <sz val="11"/>
        <color theme="1"/>
        <rFont val="Calibri"/>
        <family val="2"/>
      </rPr>
      <t>≤ 5 MW</t>
    </r>
    <r>
      <rPr>
        <sz val="11"/>
        <color theme="1"/>
        <rFont val="Calibri"/>
        <family val="2"/>
        <scheme val="minor"/>
      </rPr>
      <t xml:space="preserve">
@$110/MWh
(MW)</t>
    </r>
  </si>
  <si>
    <t>Community Solar (LMI)
@$125/MWh
(MW)</t>
  </si>
  <si>
    <t>Prefered land use grid supply
@$125/MWh
(MW)</t>
  </si>
  <si>
    <t>of Retail rates</t>
  </si>
  <si>
    <t>Class I RECs</t>
  </si>
  <si>
    <t>SRECs</t>
  </si>
  <si>
    <t>TRECs</t>
  </si>
  <si>
    <t>Total RPS Costs</t>
  </si>
  <si>
    <t>Direct Costs</t>
  </si>
  <si>
    <t>Direct Benefits</t>
  </si>
  <si>
    <t>In-State New Jersey Class I DRIPE</t>
  </si>
  <si>
    <t>Out-of-State Class I DRIPE</t>
  </si>
  <si>
    <t>New Jersey Class I Installations (PJM GATS registered)</t>
  </si>
  <si>
    <t>In-State Class I DRIPE Energy &amp; Capacity</t>
  </si>
  <si>
    <t>Solar DRIPE - Energy &amp; Capacity</t>
  </si>
  <si>
    <t>Out-of-State Class I DRIPE Energy &amp; Capacity</t>
  </si>
  <si>
    <t>Price Volatility Hedge Value</t>
  </si>
  <si>
    <t>New Jersey Electric Costs</t>
  </si>
  <si>
    <t>Additional Solar PPA</t>
  </si>
  <si>
    <t>Solar Host-Owned Systems</t>
  </si>
  <si>
    <t>Host Owned Cost per MW</t>
  </si>
  <si>
    <t>DG Cogen PPA</t>
  </si>
  <si>
    <t>Total Electric Costs</t>
  </si>
  <si>
    <t>RPS Cost Cap</t>
  </si>
  <si>
    <t>Cost Cap</t>
  </si>
  <si>
    <t>Net RPS Costs</t>
  </si>
  <si>
    <t>RPS Cost Cap %</t>
  </si>
  <si>
    <t>Cummulative Surplus</t>
  </si>
  <si>
    <t>RPS Cost Cap Calculation</t>
  </si>
  <si>
    <t>Annual Cost Cap Surplus</t>
  </si>
  <si>
    <t>Successor Solar RECs</t>
  </si>
  <si>
    <t>Successor Program Production - offset by 1 year to match above analysis</t>
  </si>
  <si>
    <t>MWh/Yr</t>
  </si>
  <si>
    <t>BTM MW</t>
  </si>
  <si>
    <t>BTM MWh</t>
  </si>
  <si>
    <t>BTM Savings</t>
  </si>
  <si>
    <t>BTM Host Owned MW</t>
  </si>
  <si>
    <t>BTM PPA MWh</t>
  </si>
  <si>
    <t>BTM PPA Costs</t>
  </si>
  <si>
    <t xml:space="preserve">Solar BTM Savings </t>
  </si>
  <si>
    <t>Cum. Successor Program Productive Capacity
(MW)</t>
  </si>
  <si>
    <t>Transpose Cost Cap Results</t>
  </si>
  <si>
    <t>TotaI RPS Benefits</t>
  </si>
  <si>
    <t>Total Cost Successor Program ($)</t>
  </si>
  <si>
    <t>Successor Program Cost</t>
  </si>
  <si>
    <t>Metered Retail Electricity (EIA 861M)</t>
  </si>
  <si>
    <t>OREC MWh</t>
  </si>
  <si>
    <t>Straw</t>
  </si>
  <si>
    <t>Total or Average</t>
  </si>
  <si>
    <t>Straw $/MWh</t>
  </si>
  <si>
    <t>GA$/MWh</t>
  </si>
  <si>
    <t>Straw - Annual MW</t>
  </si>
  <si>
    <t>GA - 1st Year MW</t>
  </si>
  <si>
    <t>NJ Class I MWh GATS</t>
  </si>
  <si>
    <t>Out of State Wind MWh</t>
  </si>
  <si>
    <t>Est Out of state Capacity DRIPE</t>
  </si>
  <si>
    <t>EIA 861M Adjust to BPU reported Retail Load</t>
  </si>
  <si>
    <t>EIA for EY 2020</t>
  </si>
  <si>
    <t>BPU for 2020</t>
  </si>
  <si>
    <t>Multiplier</t>
  </si>
  <si>
    <t>Sales Tax</t>
  </si>
  <si>
    <t>$ Paid Incl (GA ADJ) Sales Tax</t>
  </si>
  <si>
    <t>pending</t>
  </si>
  <si>
    <t>Total Additional Additions to Denominator + Successor Program</t>
  </si>
  <si>
    <t>Category</t>
  </si>
  <si>
    <t>[a]</t>
  </si>
  <si>
    <t>$mm</t>
  </si>
  <si>
    <t>[b]</t>
  </si>
  <si>
    <t>[c]</t>
  </si>
  <si>
    <t>Interim Incentive</t>
  </si>
  <si>
    <t>[d]</t>
  </si>
  <si>
    <t>Successor Incentive</t>
  </si>
  <si>
    <t>[f]</t>
  </si>
  <si>
    <t>[g]</t>
  </si>
  <si>
    <t>[h]</t>
  </si>
  <si>
    <t>[i]</t>
  </si>
  <si>
    <t>Total Paid for Electricity</t>
  </si>
  <si>
    <t>Graph Data</t>
  </si>
  <si>
    <t>[e]=[a]+[b]+[c]+[d]</t>
  </si>
  <si>
    <t>RPS Cost Cap Percentage</t>
  </si>
  <si>
    <t>Percent</t>
  </si>
  <si>
    <t>$mm/yr</t>
  </si>
  <si>
    <t>[m]</t>
  </si>
  <si>
    <t>[l]</t>
  </si>
  <si>
    <t>[n]=[l]x[m]</t>
  </si>
  <si>
    <t>Direct RPS Costs</t>
  </si>
  <si>
    <t>Incentive Detailed Categories</t>
  </si>
  <si>
    <t>Residential</t>
  </si>
  <si>
    <t>Grid Ground</t>
  </si>
  <si>
    <t>Grid Carport</t>
  </si>
  <si>
    <t>Grid Roof</t>
  </si>
  <si>
    <t>CS Ground</t>
  </si>
  <si>
    <t>CS Roof Lg</t>
  </si>
  <si>
    <t>CS Roof Med</t>
  </si>
  <si>
    <t>C&amp;I Carport</t>
  </si>
  <si>
    <t>SubCat</t>
  </si>
  <si>
    <t>Grid</t>
  </si>
  <si>
    <t>CS</t>
  </si>
  <si>
    <t>Basic Grid</t>
  </si>
  <si>
    <t>Pref Grid</t>
  </si>
  <si>
    <t>Sm NM</t>
  </si>
  <si>
    <t>Lg NM</t>
  </si>
  <si>
    <t>Grand Total</t>
  </si>
  <si>
    <t>Total</t>
  </si>
  <si>
    <t>Cat Capacity</t>
  </si>
  <si>
    <t>Straw Capacity</t>
  </si>
  <si>
    <t>Column Labels</t>
  </si>
  <si>
    <t>Sum of Cat Capacity</t>
  </si>
  <si>
    <t>Values</t>
  </si>
  <si>
    <t>PPA % of SRECs</t>
  </si>
  <si>
    <t>Successor Capacity Escalators post-2025</t>
  </si>
  <si>
    <t>Straw Incentive</t>
  </si>
  <si>
    <t>All Non-Res NM Average</t>
  </si>
  <si>
    <t>SubCat Incentive</t>
  </si>
  <si>
    <t>SubCat Est Capacity</t>
  </si>
  <si>
    <t>C&amp;I Ground Med</t>
  </si>
  <si>
    <t>C&amp;I Roof Med</t>
  </si>
  <si>
    <t>C&amp;I Ground Lg</t>
  </si>
  <si>
    <t>C&amp;I Roof Lg</t>
  </si>
  <si>
    <t>Class I DRIPE - Energy &amp; Capacity</t>
  </si>
  <si>
    <t>[j]=[f]+[g]+[h]+[i]</t>
  </si>
  <si>
    <t>Total RPS Customer Benefits</t>
  </si>
  <si>
    <t>[k]=[e]-[j]</t>
  </si>
  <si>
    <t>[o]=[n]-[k]</t>
  </si>
  <si>
    <t>First year</t>
  </si>
  <si>
    <t>CAGR</t>
  </si>
  <si>
    <t>% Different v Straw</t>
  </si>
  <si>
    <t xml:space="preserve">Total Capacity </t>
  </si>
  <si>
    <t>Transition Incentive (TRECs)</t>
  </si>
  <si>
    <t>Incentive % Increase 
vs Straw</t>
  </si>
  <si>
    <t>Straw C&amp;I Roof, Car, Canopy</t>
  </si>
  <si>
    <t>Straw Category</t>
  </si>
  <si>
    <t>Grid Preferred</t>
  </si>
  <si>
    <t>Community Solar</t>
  </si>
  <si>
    <t>Res NM</t>
  </si>
  <si>
    <t>C&amp;I &lt;2 Carport, Roof</t>
  </si>
  <si>
    <t>C&amp;I &lt;2 Ground</t>
  </si>
  <si>
    <t>C&amp;I &gt;2</t>
  </si>
  <si>
    <t>Gabel Sub Category Capacity to match up with Straw</t>
  </si>
  <si>
    <t>Gabel Modeled Capacity 
as Percent of Straw</t>
  </si>
  <si>
    <t>2021-2040 CAGR</t>
  </si>
  <si>
    <t>2021-2030 CAGR</t>
  </si>
  <si>
    <t>Adjusted Incentive</t>
  </si>
  <si>
    <t>Sum of Adjusted Incentive</t>
  </si>
  <si>
    <t>Reference copy from PPT</t>
  </si>
  <si>
    <t>Power Point Table &amp; Graph</t>
  </si>
  <si>
    <t>BTM Pct (Feb 2021 OCE Data)</t>
  </si>
  <si>
    <t>Host Owned as % of SRECs</t>
  </si>
  <si>
    <t>GA - Additional and Adjusted Benefits</t>
  </si>
  <si>
    <t>Class I RPS</t>
  </si>
  <si>
    <t>hard coded</t>
  </si>
  <si>
    <t>Estimated Out of State Class I MW</t>
  </si>
  <si>
    <t>Adjusted C&amp;I NM</t>
  </si>
  <si>
    <t>Straw C&amp;I NM</t>
  </si>
  <si>
    <t>Proposed</t>
  </si>
  <si>
    <t>C&amp;I Carport, Roof</t>
  </si>
  <si>
    <t>C&amp;I Large</t>
  </si>
  <si>
    <t>TPO</t>
  </si>
  <si>
    <t>DO</t>
  </si>
  <si>
    <t>CADMUS</t>
  </si>
  <si>
    <t>Incentive notes 5/25</t>
  </si>
  <si>
    <t>Used $90 (CS Roof) for all CS</t>
  </si>
  <si>
    <t xml:space="preserve">SAM Case </t>
  </si>
  <si>
    <t xml:space="preserve">Comm_DO_Ground_lg </t>
  </si>
  <si>
    <t xml:space="preserve">Comm_DO_Ground_med </t>
  </si>
  <si>
    <t xml:space="preserve">Comm_DO_Roof_lg </t>
  </si>
  <si>
    <t xml:space="preserve">Comm_DO_Roof_med </t>
  </si>
  <si>
    <t xml:space="preserve">Comm_DO_Roof_sm </t>
  </si>
  <si>
    <t xml:space="preserve">Comm_TPO_Carport </t>
  </si>
  <si>
    <t xml:space="preserve">Comm_TPO_Ground_lg </t>
  </si>
  <si>
    <t xml:space="preserve">Comm_TPO_Ground_med </t>
  </si>
  <si>
    <t xml:space="preserve">Comm_TPO_Roof_lg </t>
  </si>
  <si>
    <t xml:space="preserve">Comm_TPO_Roof_med </t>
  </si>
  <si>
    <t xml:space="preserve">Comm_TPO_Roof_sm </t>
  </si>
  <si>
    <t xml:space="preserve">CS_Ground </t>
  </si>
  <si>
    <t xml:space="preserve">CS_Roof_lg </t>
  </si>
  <si>
    <t xml:space="preserve">CS_Roof_med </t>
  </si>
  <si>
    <t xml:space="preserve">Grid_Ground </t>
  </si>
  <si>
    <t xml:space="preserve">Grid_Ground_OOS </t>
  </si>
  <si>
    <t xml:space="preserve">Grid_Roof </t>
  </si>
  <si>
    <t xml:space="preserve">Resi_DO_Roof [1] </t>
  </si>
  <si>
    <t xml:space="preserve">Resi_TPO_Roof </t>
  </si>
  <si>
    <t>From original Capstone Report</t>
  </si>
  <si>
    <t>Updated 26% ITC</t>
  </si>
  <si>
    <t>To Use in Updated Analysis</t>
  </si>
  <si>
    <t>Used 80/20 split for res TPO/DO</t>
  </si>
  <si>
    <t>Used 70/30 split for comm TPO/DO</t>
  </si>
  <si>
    <t>target:</t>
  </si>
  <si>
    <t>Wtd Avg C&amp;I lg Ground</t>
  </si>
  <si>
    <t>Wtd Avg C&amp;I Med Ground</t>
  </si>
  <si>
    <t>Wtd Avg C&amp;I lg roof</t>
  </si>
  <si>
    <t>Wtd Avg Res</t>
  </si>
  <si>
    <t>Weighting</t>
  </si>
  <si>
    <t>Res</t>
  </si>
  <si>
    <t>Comm</t>
  </si>
  <si>
    <t>Wtd Avg C&amp;I Med roof</t>
  </si>
  <si>
    <t>Used C&amp;I Carport minus $10 for Gridn Carport</t>
  </si>
  <si>
    <t>2025 Straw Costs</t>
  </si>
  <si>
    <t>total thru 2025</t>
  </si>
  <si>
    <t>first 2 years</t>
  </si>
  <si>
    <t>Cadmus Category</t>
  </si>
  <si>
    <t>Incentive</t>
  </si>
  <si>
    <t>Aurora DRIPE Results Class I</t>
  </si>
  <si>
    <t>Aurora DRIPE Results PV</t>
  </si>
  <si>
    <t>$/MWh</t>
  </si>
  <si>
    <t>x</t>
  </si>
  <si>
    <r>
      <t xml:space="preserve">Energy DRIPE benefit of new build
($) </t>
    </r>
    <r>
      <rPr>
        <b/>
        <sz val="11"/>
        <color theme="1"/>
        <rFont val="Calibri"/>
        <family val="2"/>
        <scheme val="minor"/>
      </rPr>
      <t>INCLUDED IN P10:P31 ABOVE</t>
    </r>
  </si>
  <si>
    <t>Adjusted (optional)</t>
  </si>
  <si>
    <t>misc work area</t>
  </si>
  <si>
    <t>Mapped to Incentive Detail for Cost Cap modeling</t>
  </si>
  <si>
    <t>Weighted Averages</t>
  </si>
  <si>
    <t>Gabel Notes:</t>
  </si>
  <si>
    <t>Added tabs for updated incentive detail and mapping Cadmus recommended values to the Cost Cap model categories</t>
  </si>
  <si>
    <t>Added PPT Formatting Tab for presentation material</t>
  </si>
  <si>
    <t>Input assumption changes were made to the Green Cells identified as user changeable intputs</t>
  </si>
  <si>
    <t>Additional changes are generally identified by blue text color</t>
  </si>
  <si>
    <t>To integrate the total impact of SREC, TREC and Successor programs, Gabel added new analysis in Cost Cap Tool in R1:R32 through BJ1: BJ32 and V35:V59 through AG35:AG59</t>
  </si>
  <si>
    <t>Rather than change any structure of the original Cost Cap Tool, Gabel's additions build on the Cost Cap Tool tables with complete flow through of formulas used</t>
  </si>
  <si>
    <t>Added EIA Escalation Tab for retail rate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</si>
</sst>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&quot;$&quot;#,##0"/>
    <numFmt numFmtId="168" formatCode="_(* #,##0_);_(* \(#,##0\);_(* &quot;-&quot;???_);_(@_)"/>
    <numFmt numFmtId="169" formatCode="_(* #,##0.0_);_(* \(#,##0.0\);_(* &quot;-&quot;??_);_(@_)"/>
    <numFmt numFmtId="170" formatCode="_(* #,##0.000_);_(* \(#,##0.000\);_(* &quot;-&quot;??_);_(@_)"/>
    <numFmt numFmtId="171" formatCode="_(* #,##0.0000_);_(* \(#,##0.0000\);_(* &quot;-&quot;??_);_(@_)"/>
    <numFmt numFmtId="172" formatCode="_(* #,##0.000000_);_(* \(#,##0.000000\);_(* &quot;-&quot;??_);_(@_)"/>
    <numFmt numFmtId="173" formatCode="_(* #,##0.0000000_);_(* \(#,##0.0000000\);_(* &quot;-&quot;??_);_(@_)"/>
    <numFmt numFmtId="174" formatCode="_(* #,##0.00000000_);_(* \(#,##0.00000000\);_(* &quot;-&quot;??_);_(@_)"/>
    <numFmt numFmtId="175" formatCode="&quot;$&quot;#,##0.00"/>
    <numFmt numFmtId="176" formatCode="0.0000%"/>
    <numFmt numFmtId="177" formatCode="&quot;$&quot;#,##0.0"/>
    <numFmt numFmtId="178" formatCode="0.000"/>
  </numFmts>
  <fonts count="4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3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i/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8"/>
      <color rgb="FF000000"/>
      <name val="Calibri"/>
      <family val="2"/>
    </font>
    <font>
      <sz val="4"/>
      <color rgb="FF000000"/>
      <name val="Calibri"/>
      <family val="2"/>
    </font>
    <font>
      <sz val="9"/>
      <color rgb="FF000000"/>
      <name val="Calibri"/>
      <family val="2"/>
      <scheme val="minor"/>
    </font>
    <font>
      <sz val="4"/>
      <color rgb="FF000000"/>
      <name val="Calibri (Body)"/>
    </font>
    <font>
      <sz val="4"/>
      <color theme="1"/>
      <name val="Calibri (Body)"/>
    </font>
    <font>
      <sz val="1"/>
      <color rgb="FF000000"/>
      <name val="Calibri"/>
      <family val="2"/>
    </font>
    <font>
      <sz val="11"/>
      <color theme="1"/>
      <name val="Calibri (Body)"/>
    </font>
    <font>
      <b/>
      <sz val="11"/>
      <color theme="1"/>
      <name val="Calibri (Body)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9677F"/>
        <bgColor indexed="64"/>
      </patternFill>
    </fill>
    <fill>
      <patternFill patternType="solid">
        <fgColor rgb="FFC1EFFB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9677F"/>
      </bottom>
      <diagonal/>
    </border>
    <border>
      <left/>
      <right/>
      <top style="thin">
        <color rgb="FF09677F"/>
      </top>
      <bottom style="thin">
        <color rgb="FF09677F"/>
      </bottom>
      <diagonal/>
    </border>
    <border>
      <left/>
      <right/>
      <top style="thin">
        <color rgb="FF09677F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30">
    <xf numFmtId="0" fontId="0" fillId="0" borderId="0" xfId="0"/>
    <xf numFmtId="9" fontId="0" fillId="2" borderId="1" xfId="0" applyNumberFormat="1" applyFill="1" applyBorder="1" applyAlignment="1">
      <alignment horizontal="center" vertical="center"/>
    </xf>
    <xf numFmtId="164" fontId="0" fillId="0" borderId="0" xfId="1" applyNumberFormat="1" applyFont="1"/>
    <xf numFmtId="0" fontId="0" fillId="2" borderId="0" xfId="0" applyFill="1"/>
    <xf numFmtId="0" fontId="0" fillId="0" borderId="2" xfId="0" applyBorder="1"/>
    <xf numFmtId="164" fontId="0" fillId="0" borderId="2" xfId="1" applyNumberFormat="1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64" fontId="0" fillId="0" borderId="0" xfId="1" applyNumberFormat="1" applyFont="1" applyFill="1" applyBorder="1"/>
    <xf numFmtId="164" fontId="0" fillId="0" borderId="0" xfId="1" applyNumberFormat="1" applyFont="1" applyBorder="1"/>
    <xf numFmtId="164" fontId="0" fillId="0" borderId="0" xfId="0" applyNumberFormat="1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3" borderId="0" xfId="0" applyFill="1"/>
    <xf numFmtId="0" fontId="0" fillId="0" borderId="3" xfId="0" applyFill="1" applyBorder="1" applyAlignment="1">
      <alignment horizontal="center" vertical="center" wrapText="1"/>
    </xf>
    <xf numFmtId="0" fontId="0" fillId="0" borderId="3" xfId="0" applyBorder="1"/>
    <xf numFmtId="164" fontId="0" fillId="0" borderId="0" xfId="0" applyNumberFormat="1" applyBorder="1"/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6" fillId="0" borderId="0" xfId="0" applyFont="1"/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3" borderId="0" xfId="1" applyNumberFormat="1" applyFont="1" applyFill="1" applyBorder="1"/>
    <xf numFmtId="0" fontId="0" fillId="0" borderId="10" xfId="0" applyBorder="1"/>
    <xf numFmtId="164" fontId="0" fillId="3" borderId="10" xfId="0" applyNumberFormat="1" applyFill="1" applyBorder="1"/>
    <xf numFmtId="0" fontId="0" fillId="0" borderId="0" xfId="0" applyAlignment="1">
      <alignment vertical="center" wrapText="1"/>
    </xf>
    <xf numFmtId="164" fontId="0" fillId="0" borderId="0" xfId="0" applyNumberFormat="1"/>
    <xf numFmtId="43" fontId="0" fillId="0" borderId="0" xfId="1" applyNumberFormat="1" applyFont="1" applyBorder="1"/>
    <xf numFmtId="0" fontId="0" fillId="0" borderId="0" xfId="0" applyFill="1" applyBorder="1"/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1" fontId="0" fillId="0" borderId="0" xfId="2" applyNumberFormat="1" applyFont="1" applyFill="1" applyBorder="1"/>
    <xf numFmtId="0" fontId="0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65" fontId="0" fillId="0" borderId="0" xfId="2" applyNumberFormat="1" applyFont="1" applyFill="1" applyBorder="1"/>
    <xf numFmtId="0" fontId="0" fillId="0" borderId="0" xfId="0" applyFill="1" applyBorder="1" applyAlignment="1">
      <alignment horizontal="center"/>
    </xf>
    <xf numFmtId="168" fontId="0" fillId="0" borderId="0" xfId="0" applyNumberFormat="1"/>
    <xf numFmtId="10" fontId="0" fillId="0" borderId="0" xfId="3" applyNumberFormat="1" applyFo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167" fontId="0" fillId="0" borderId="0" xfId="0" applyNumberFormat="1"/>
    <xf numFmtId="165" fontId="0" fillId="0" borderId="0" xfId="0" applyNumberFormat="1"/>
    <xf numFmtId="0" fontId="7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164" fontId="0" fillId="0" borderId="18" xfId="1" applyNumberFormat="1" applyFont="1" applyFill="1" applyBorder="1"/>
    <xf numFmtId="164" fontId="0" fillId="0" borderId="10" xfId="0" applyNumberFormat="1" applyFill="1" applyBorder="1"/>
    <xf numFmtId="165" fontId="0" fillId="0" borderId="0" xfId="0" applyNumberFormat="1" applyFill="1"/>
    <xf numFmtId="165" fontId="0" fillId="0" borderId="0" xfId="0" applyNumberFormat="1" applyFill="1" applyBorder="1"/>
    <xf numFmtId="43" fontId="0" fillId="0" borderId="0" xfId="1" applyFont="1" applyFill="1" applyBorder="1"/>
    <xf numFmtId="0" fontId="0" fillId="2" borderId="0" xfId="0" applyFill="1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2" fontId="0" fillId="3" borderId="0" xfId="0" applyNumberFormat="1" applyFill="1" applyBorder="1"/>
    <xf numFmtId="2" fontId="0" fillId="0" borderId="0" xfId="0" applyNumberFormat="1" applyBorder="1"/>
    <xf numFmtId="0" fontId="0" fillId="0" borderId="26" xfId="0" applyBorder="1"/>
    <xf numFmtId="2" fontId="0" fillId="0" borderId="27" xfId="0" applyNumberFormat="1" applyBorder="1"/>
    <xf numFmtId="164" fontId="0" fillId="0" borderId="27" xfId="1" applyNumberFormat="1" applyFont="1" applyBorder="1"/>
    <xf numFmtId="164" fontId="0" fillId="0" borderId="21" xfId="1" applyNumberFormat="1" applyFont="1" applyFill="1" applyBorder="1"/>
    <xf numFmtId="0" fontId="0" fillId="5" borderId="18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26" xfId="1" applyNumberFormat="1" applyFont="1" applyBorder="1"/>
    <xf numFmtId="164" fontId="0" fillId="0" borderId="27" xfId="1" applyNumberFormat="1" applyFont="1" applyFill="1" applyBorder="1"/>
    <xf numFmtId="164" fontId="0" fillId="0" borderId="27" xfId="0" applyNumberFormat="1" applyBorder="1"/>
    <xf numFmtId="164" fontId="0" fillId="0" borderId="27" xfId="0" applyNumberFormat="1" applyFill="1" applyBorder="1"/>
    <xf numFmtId="0" fontId="0" fillId="0" borderId="0" xfId="0" applyBorder="1" applyAlignment="1"/>
    <xf numFmtId="0" fontId="0" fillId="0" borderId="10" xfId="0" applyBorder="1" applyAlignment="1">
      <alignment horizontal="center" vertical="center" wrapText="1"/>
    </xf>
    <xf numFmtId="164" fontId="0" fillId="0" borderId="10" xfId="1" applyNumberFormat="1" applyFont="1" applyBorder="1"/>
    <xf numFmtId="164" fontId="0" fillId="0" borderId="3" xfId="1" applyNumberFormat="1" applyFont="1" applyFill="1" applyBorder="1"/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164" fontId="0" fillId="0" borderId="19" xfId="1" applyNumberFormat="1" applyFont="1" applyBorder="1"/>
    <xf numFmtId="164" fontId="0" fillId="0" borderId="28" xfId="1" applyNumberFormat="1" applyFont="1" applyFill="1" applyBorder="1"/>
    <xf numFmtId="164" fontId="0" fillId="0" borderId="33" xfId="1" applyNumberFormat="1" applyFont="1" applyBorder="1"/>
    <xf numFmtId="0" fontId="0" fillId="4" borderId="35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5" xfId="0" applyBorder="1"/>
    <xf numFmtId="164" fontId="0" fillId="0" borderId="35" xfId="1" applyNumberFormat="1" applyFont="1" applyBorder="1"/>
    <xf numFmtId="0" fontId="0" fillId="4" borderId="19" xfId="0" applyFill="1" applyBorder="1" applyAlignment="1">
      <alignment horizontal="center" vertical="center" wrapText="1"/>
    </xf>
    <xf numFmtId="0" fontId="0" fillId="0" borderId="19" xfId="0" applyBorder="1"/>
    <xf numFmtId="164" fontId="0" fillId="0" borderId="19" xfId="1" applyNumberFormat="1" applyFont="1" applyFill="1" applyBorder="1"/>
    <xf numFmtId="164" fontId="0" fillId="0" borderId="33" xfId="1" applyNumberFormat="1" applyFont="1" applyFill="1" applyBorder="1"/>
    <xf numFmtId="0" fontId="0" fillId="4" borderId="19" xfId="0" applyFill="1" applyBorder="1" applyAlignment="1">
      <alignment horizontal="center" vertical="center"/>
    </xf>
    <xf numFmtId="164" fontId="0" fillId="0" borderId="19" xfId="0" applyNumberFormat="1" applyFill="1" applyBorder="1"/>
    <xf numFmtId="164" fontId="0" fillId="0" borderId="33" xfId="0" applyNumberFormat="1" applyFill="1" applyBorder="1"/>
    <xf numFmtId="164" fontId="0" fillId="0" borderId="3" xfId="0" applyNumberFormat="1" applyFill="1" applyBorder="1"/>
    <xf numFmtId="164" fontId="0" fillId="0" borderId="28" xfId="0" applyNumberFormat="1" applyFill="1" applyBorder="1"/>
    <xf numFmtId="166" fontId="0" fillId="2" borderId="37" xfId="3" quotePrefix="1" applyNumberFormat="1" applyFont="1" applyFill="1" applyBorder="1" applyAlignment="1">
      <alignment horizontal="center" vertical="center"/>
    </xf>
    <xf numFmtId="164" fontId="0" fillId="3" borderId="37" xfId="0" applyNumberFormat="1" applyFill="1" applyBorder="1"/>
    <xf numFmtId="164" fontId="0" fillId="0" borderId="30" xfId="0" applyNumberFormat="1" applyFill="1" applyBorder="1"/>
    <xf numFmtId="0" fontId="5" fillId="0" borderId="0" xfId="0" quotePrefix="1" applyFont="1" applyFill="1" applyBorder="1" applyAlignment="1"/>
    <xf numFmtId="164" fontId="0" fillId="0" borderId="3" xfId="0" applyNumberFormat="1" applyBorder="1"/>
    <xf numFmtId="0" fontId="0" fillId="0" borderId="27" xfId="0" applyFill="1" applyBorder="1"/>
    <xf numFmtId="164" fontId="0" fillId="0" borderId="28" xfId="0" applyNumberFormat="1" applyBorder="1"/>
    <xf numFmtId="0" fontId="0" fillId="0" borderId="2" xfId="0" applyFill="1" applyBorder="1"/>
    <xf numFmtId="0" fontId="0" fillId="0" borderId="26" xfId="0" applyFill="1" applyBorder="1"/>
    <xf numFmtId="0" fontId="0" fillId="0" borderId="42" xfId="0" applyBorder="1" applyAlignment="1">
      <alignment horizontal="center" vertical="center" wrapText="1"/>
    </xf>
    <xf numFmtId="164" fontId="0" fillId="3" borderId="43" xfId="0" applyNumberFormat="1" applyFill="1" applyBorder="1"/>
    <xf numFmtId="164" fontId="0" fillId="3" borderId="35" xfId="1" applyNumberFormat="1" applyFont="1" applyFill="1" applyBorder="1"/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43" xfId="0" applyBorder="1" applyAlignment="1">
      <alignment horizontal="center" vertical="center" wrapText="1"/>
    </xf>
    <xf numFmtId="9" fontId="0" fillId="0" borderId="35" xfId="0" applyNumberFormat="1" applyBorder="1"/>
    <xf numFmtId="9" fontId="0" fillId="0" borderId="26" xfId="0" applyNumberFormat="1" applyBorder="1"/>
    <xf numFmtId="0" fontId="0" fillId="0" borderId="27" xfId="0" applyBorder="1" applyAlignment="1">
      <alignment horizontal="center" vertical="center"/>
    </xf>
    <xf numFmtId="0" fontId="0" fillId="5" borderId="38" xfId="0" applyFont="1" applyFill="1" applyBorder="1" applyAlignment="1">
      <alignment horizontal="center" vertical="center" wrapText="1"/>
    </xf>
    <xf numFmtId="44" fontId="0" fillId="0" borderId="0" xfId="2" applyFont="1" applyBorder="1"/>
    <xf numFmtId="44" fontId="0" fillId="0" borderId="3" xfId="2" applyFont="1" applyBorder="1"/>
    <xf numFmtId="44" fontId="0" fillId="0" borderId="27" xfId="2" applyFont="1" applyBorder="1"/>
    <xf numFmtId="44" fontId="0" fillId="0" borderId="28" xfId="2" applyFont="1" applyBorder="1"/>
    <xf numFmtId="0" fontId="0" fillId="5" borderId="41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3" xfId="0" applyFill="1" applyBorder="1"/>
    <xf numFmtId="0" fontId="0" fillId="5" borderId="45" xfId="0" applyFont="1" applyFill="1" applyBorder="1" applyAlignment="1">
      <alignment horizontal="center" vertical="center" wrapText="1"/>
    </xf>
    <xf numFmtId="0" fontId="0" fillId="5" borderId="23" xfId="0" applyFont="1" applyFill="1" applyBorder="1" applyAlignment="1">
      <alignment horizontal="center" vertical="center" wrapText="1"/>
    </xf>
    <xf numFmtId="165" fontId="0" fillId="0" borderId="0" xfId="0" applyNumberFormat="1" applyBorder="1"/>
    <xf numFmtId="43" fontId="0" fillId="0" borderId="27" xfId="1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2" borderId="1" xfId="0" applyFill="1" applyBorder="1"/>
    <xf numFmtId="0" fontId="0" fillId="2" borderId="46" xfId="0" applyFill="1" applyBorder="1" applyAlignment="1">
      <alignment horizontal="center" vertical="center"/>
    </xf>
    <xf numFmtId="164" fontId="0" fillId="0" borderId="40" xfId="0" applyNumberFormat="1" applyFill="1" applyBorder="1"/>
    <xf numFmtId="164" fontId="0" fillId="0" borderId="29" xfId="0" applyNumberFormat="1" applyFill="1" applyBorder="1"/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/>
    <xf numFmtId="0" fontId="7" fillId="5" borderId="18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 wrapText="1"/>
    </xf>
    <xf numFmtId="165" fontId="0" fillId="0" borderId="40" xfId="2" applyNumberFormat="1" applyFont="1" applyFill="1" applyBorder="1"/>
    <xf numFmtId="165" fontId="0" fillId="0" borderId="29" xfId="2" applyNumberFormat="1" applyFont="1" applyFill="1" applyBorder="1"/>
    <xf numFmtId="165" fontId="0" fillId="0" borderId="30" xfId="2" applyNumberFormat="1" applyFont="1" applyFill="1" applyBorder="1"/>
    <xf numFmtId="0" fontId="0" fillId="0" borderId="51" xfId="0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0" fillId="0" borderId="34" xfId="0" applyFill="1" applyBorder="1" applyAlignment="1">
      <alignment horizontal="center" vertical="center" wrapText="1"/>
    </xf>
    <xf numFmtId="44" fontId="0" fillId="0" borderId="39" xfId="2" applyFont="1" applyBorder="1"/>
    <xf numFmtId="0" fontId="0" fillId="0" borderId="43" xfId="0" applyBorder="1"/>
    <xf numFmtId="0" fontId="0" fillId="0" borderId="10" xfId="0" applyFill="1" applyBorder="1"/>
    <xf numFmtId="165" fontId="0" fillId="0" borderId="39" xfId="0" applyNumberFormat="1" applyBorder="1"/>
    <xf numFmtId="165" fontId="0" fillId="0" borderId="40" xfId="0" applyNumberFormat="1" applyBorder="1"/>
    <xf numFmtId="165" fontId="0" fillId="0" borderId="29" xfId="0" applyNumberFormat="1" applyBorder="1"/>
    <xf numFmtId="165" fontId="0" fillId="0" borderId="30" xfId="0" applyNumberFormat="1" applyBorder="1"/>
    <xf numFmtId="0" fontId="7" fillId="5" borderId="53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/>
    </xf>
    <xf numFmtId="6" fontId="0" fillId="2" borderId="1" xfId="0" applyNumberFormat="1" applyFill="1" applyBorder="1"/>
    <xf numFmtId="0" fontId="0" fillId="5" borderId="32" xfId="0" applyFont="1" applyFill="1" applyBorder="1" applyAlignment="1">
      <alignment horizontal="center" vertical="center"/>
    </xf>
    <xf numFmtId="0" fontId="0" fillId="5" borderId="25" xfId="0" applyFont="1" applyFill="1" applyBorder="1" applyAlignment="1">
      <alignment horizontal="center" vertical="center" wrapText="1"/>
    </xf>
    <xf numFmtId="0" fontId="0" fillId="5" borderId="44" xfId="0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7" fillId="5" borderId="48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0" fillId="0" borderId="0" xfId="0" applyAlignment="1"/>
    <xf numFmtId="0" fontId="11" fillId="0" borderId="0" xfId="0" applyFont="1" applyAlignment="1"/>
    <xf numFmtId="0" fontId="13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5" xfId="0" quotePrefix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15" fontId="6" fillId="0" borderId="0" xfId="0" applyNumberFormat="1" applyFont="1"/>
    <xf numFmtId="0" fontId="14" fillId="0" borderId="0" xfId="0" applyFont="1"/>
    <xf numFmtId="164" fontId="15" fillId="0" borderId="0" xfId="1" applyNumberFormat="1" applyFont="1" applyBorder="1"/>
    <xf numFmtId="0" fontId="7" fillId="0" borderId="0" xfId="0" applyFont="1" applyFill="1" applyBorder="1" applyAlignment="1">
      <alignment horizontal="center"/>
    </xf>
    <xf numFmtId="164" fontId="15" fillId="0" borderId="19" xfId="1" applyNumberFormat="1" applyFont="1" applyFill="1" applyBorder="1"/>
    <xf numFmtId="165" fontId="0" fillId="0" borderId="27" xfId="2" applyNumberFormat="1" applyFont="1" applyFill="1" applyBorder="1"/>
    <xf numFmtId="164" fontId="16" fillId="0" borderId="35" xfId="1" applyNumberFormat="1" applyFont="1" applyBorder="1"/>
    <xf numFmtId="164" fontId="16" fillId="0" borderId="19" xfId="1" applyNumberFormat="1" applyFont="1" applyFill="1" applyBorder="1"/>
    <xf numFmtId="164" fontId="16" fillId="0" borderId="36" xfId="1" applyNumberFormat="1" applyFont="1" applyBorder="1"/>
    <xf numFmtId="43" fontId="0" fillId="0" borderId="0" xfId="1" applyFont="1"/>
    <xf numFmtId="0" fontId="7" fillId="0" borderId="0" xfId="0" applyFont="1"/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9" fontId="0" fillId="0" borderId="0" xfId="3" applyFont="1"/>
    <xf numFmtId="166" fontId="0" fillId="0" borderId="0" xfId="3" applyNumberFormat="1" applyFont="1"/>
    <xf numFmtId="43" fontId="0" fillId="0" borderId="0" xfId="0" applyNumberFormat="1"/>
    <xf numFmtId="164" fontId="16" fillId="0" borderId="10" xfId="0" applyNumberFormat="1" applyFont="1" applyFill="1" applyBorder="1"/>
    <xf numFmtId="164" fontId="16" fillId="0" borderId="19" xfId="0" applyNumberFormat="1" applyFont="1" applyFill="1" applyBorder="1"/>
    <xf numFmtId="164" fontId="16" fillId="0" borderId="33" xfId="0" applyNumberFormat="1" applyFont="1" applyFill="1" applyBorder="1"/>
    <xf numFmtId="0" fontId="5" fillId="6" borderId="0" xfId="0" quotePrefix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164" fontId="7" fillId="0" borderId="0" xfId="1" applyNumberFormat="1" applyFont="1" applyFill="1" applyBorder="1"/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1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4" fontId="7" fillId="2" borderId="1" xfId="1" applyNumberFormat="1" applyFont="1" applyFill="1" applyBorder="1" applyAlignment="1">
      <alignment horizontal="center" vertical="center"/>
    </xf>
    <xf numFmtId="164" fontId="16" fillId="0" borderId="9" xfId="0" applyNumberFormat="1" applyFont="1" applyFill="1" applyBorder="1"/>
    <xf numFmtId="164" fontId="16" fillId="0" borderId="39" xfId="0" applyNumberFormat="1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/>
    <xf numFmtId="164" fontId="0" fillId="0" borderId="2" xfId="1" applyNumberFormat="1" applyFont="1" applyFill="1" applyBorder="1"/>
    <xf numFmtId="164" fontId="0" fillId="0" borderId="26" xfId="1" applyNumberFormat="1" applyFont="1" applyFill="1" applyBorder="1"/>
    <xf numFmtId="164" fontId="19" fillId="0" borderId="24" xfId="1" applyNumberFormat="1" applyFont="1" applyBorder="1" applyAlignment="1">
      <alignment vertical="center"/>
    </xf>
    <xf numFmtId="164" fontId="19" fillId="0" borderId="25" xfId="1" applyNumberFormat="1" applyFont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right"/>
    </xf>
    <xf numFmtId="0" fontId="16" fillId="0" borderId="55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/>
    <xf numFmtId="0" fontId="17" fillId="0" borderId="3" xfId="0" applyFont="1" applyFill="1" applyBorder="1"/>
    <xf numFmtId="164" fontId="17" fillId="0" borderId="2" xfId="1" applyNumberFormat="1" applyFont="1" applyFill="1" applyBorder="1" applyAlignment="1">
      <alignment horizontal="center"/>
    </xf>
    <xf numFmtId="164" fontId="17" fillId="0" borderId="3" xfId="1" applyNumberFormat="1" applyFont="1" applyFill="1" applyBorder="1" applyAlignment="1">
      <alignment horizontal="center"/>
    </xf>
    <xf numFmtId="164" fontId="17" fillId="0" borderId="26" xfId="1" applyNumberFormat="1" applyFont="1" applyFill="1" applyBorder="1" applyAlignment="1">
      <alignment horizontal="center"/>
    </xf>
    <xf numFmtId="164" fontId="17" fillId="0" borderId="28" xfId="1" applyNumberFormat="1" applyFont="1" applyFill="1" applyBorder="1" applyAlignment="1">
      <alignment horizontal="center"/>
    </xf>
    <xf numFmtId="164" fontId="17" fillId="0" borderId="3" xfId="0" applyNumberFormat="1" applyFont="1" applyFill="1" applyBorder="1" applyAlignment="1">
      <alignment horizontal="center"/>
    </xf>
    <xf numFmtId="164" fontId="17" fillId="0" borderId="28" xfId="0" applyNumberFormat="1" applyFont="1" applyFill="1" applyBorder="1" applyAlignment="1">
      <alignment horizontal="center"/>
    </xf>
    <xf numFmtId="164" fontId="0" fillId="0" borderId="35" xfId="1" applyNumberFormat="1" applyFont="1" applyFill="1" applyBorder="1"/>
    <xf numFmtId="164" fontId="0" fillId="0" borderId="36" xfId="1" applyNumberFormat="1" applyFont="1" applyFill="1" applyBorder="1"/>
    <xf numFmtId="0" fontId="16" fillId="0" borderId="53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right"/>
    </xf>
    <xf numFmtId="165" fontId="17" fillId="0" borderId="2" xfId="2" applyNumberFormat="1" applyFont="1" applyFill="1" applyBorder="1"/>
    <xf numFmtId="165" fontId="16" fillId="0" borderId="2" xfId="2" applyNumberFormat="1" applyFont="1" applyFill="1" applyBorder="1"/>
    <xf numFmtId="164" fontId="16" fillId="0" borderId="18" xfId="1" applyNumberFormat="1" applyFont="1" applyBorder="1"/>
    <xf numFmtId="164" fontId="16" fillId="0" borderId="21" xfId="1" applyNumberFormat="1" applyFont="1" applyBorder="1"/>
    <xf numFmtId="164" fontId="7" fillId="0" borderId="0" xfId="1" applyNumberFormat="1" applyFont="1" applyBorder="1"/>
    <xf numFmtId="0" fontId="16" fillId="0" borderId="0" xfId="0" applyFont="1" applyFill="1" applyBorder="1" applyAlignment="1">
      <alignment horizontal="center" vertical="center" wrapText="1"/>
    </xf>
    <xf numFmtId="170" fontId="17" fillId="0" borderId="2" xfId="1" applyNumberFormat="1" applyFont="1" applyBorder="1"/>
    <xf numFmtId="0" fontId="17" fillId="0" borderId="0" xfId="0" applyFont="1" applyBorder="1"/>
    <xf numFmtId="3" fontId="0" fillId="0" borderId="0" xfId="0" applyNumberFormat="1" applyBorder="1"/>
    <xf numFmtId="170" fontId="0" fillId="0" borderId="0" xfId="0" applyNumberFormat="1" applyBorder="1"/>
    <xf numFmtId="170" fontId="17" fillId="0" borderId="2" xfId="0" applyNumberFormat="1" applyFont="1" applyBorder="1"/>
    <xf numFmtId="10" fontId="17" fillId="0" borderId="0" xfId="3" applyNumberFormat="1" applyFont="1" applyBorder="1"/>
    <xf numFmtId="170" fontId="17" fillId="0" borderId="26" xfId="0" applyNumberFormat="1" applyFont="1" applyBorder="1"/>
    <xf numFmtId="10" fontId="17" fillId="0" borderId="27" xfId="3" applyNumberFormat="1" applyFont="1" applyBorder="1"/>
    <xf numFmtId="3" fontId="0" fillId="0" borderId="27" xfId="0" applyNumberFormat="1" applyBorder="1"/>
    <xf numFmtId="170" fontId="0" fillId="0" borderId="27" xfId="0" applyNumberFormat="1" applyBorder="1"/>
    <xf numFmtId="0" fontId="16" fillId="0" borderId="15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0" fontId="16" fillId="0" borderId="54" xfId="0" applyFont="1" applyBorder="1" applyAlignment="1">
      <alignment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 wrapText="1"/>
    </xf>
    <xf numFmtId="164" fontId="16" fillId="0" borderId="0" xfId="1" applyNumberFormat="1" applyFont="1" applyBorder="1"/>
    <xf numFmtId="0" fontId="17" fillId="0" borderId="7" xfId="0" applyFont="1" applyBorder="1" applyAlignment="1">
      <alignment horizontal="center" vertical="center"/>
    </xf>
    <xf numFmtId="164" fontId="16" fillId="0" borderId="54" xfId="1" applyNumberFormat="1" applyFont="1" applyBorder="1" applyAlignment="1">
      <alignment horizontal="center" vertical="center" wrapText="1"/>
    </xf>
    <xf numFmtId="0" fontId="18" fillId="0" borderId="0" xfId="0" quotePrefix="1" applyFont="1" applyFill="1" applyBorder="1" applyAlignment="1"/>
    <xf numFmtId="165" fontId="17" fillId="0" borderId="26" xfId="2" applyNumberFormat="1" applyFont="1" applyFill="1" applyBorder="1"/>
    <xf numFmtId="0" fontId="21" fillId="5" borderId="58" xfId="0" applyFont="1" applyFill="1" applyBorder="1" applyAlignment="1">
      <alignment horizontal="center" vertical="center" wrapText="1"/>
    </xf>
    <xf numFmtId="165" fontId="20" fillId="7" borderId="51" xfId="0" applyNumberFormat="1" applyFont="1" applyFill="1" applyBorder="1"/>
    <xf numFmtId="165" fontId="20" fillId="7" borderId="18" xfId="0" applyNumberFormat="1" applyFont="1" applyFill="1" applyBorder="1"/>
    <xf numFmtId="165" fontId="20" fillId="7" borderId="21" xfId="0" applyNumberFormat="1" applyFont="1" applyFill="1" applyBorder="1"/>
    <xf numFmtId="0" fontId="16" fillId="0" borderId="55" xfId="0" applyFont="1" applyFill="1" applyBorder="1" applyAlignment="1">
      <alignment horizontal="center" vertical="center" wrapText="1"/>
    </xf>
    <xf numFmtId="164" fontId="17" fillId="0" borderId="2" xfId="0" applyNumberFormat="1" applyFont="1" applyFill="1" applyBorder="1" applyAlignment="1">
      <alignment horizontal="center"/>
    </xf>
    <xf numFmtId="164" fontId="17" fillId="0" borderId="26" xfId="0" applyNumberFormat="1" applyFont="1" applyFill="1" applyBorder="1" applyAlignment="1">
      <alignment horizontal="center"/>
    </xf>
    <xf numFmtId="0" fontId="16" fillId="0" borderId="58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17" fillId="0" borderId="18" xfId="0" applyFont="1" applyFill="1" applyBorder="1"/>
    <xf numFmtId="164" fontId="17" fillId="0" borderId="18" xfId="0" applyNumberFormat="1" applyFont="1" applyFill="1" applyBorder="1" applyAlignment="1">
      <alignment horizontal="center"/>
    </xf>
    <xf numFmtId="164" fontId="17" fillId="0" borderId="21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0" fillId="0" borderId="2" xfId="0" applyFont="1" applyBorder="1"/>
    <xf numFmtId="10" fontId="1" fillId="0" borderId="18" xfId="0" applyNumberFormat="1" applyFont="1" applyFill="1" applyBorder="1" applyAlignment="1">
      <alignment horizontal="right"/>
    </xf>
    <xf numFmtId="10" fontId="2" fillId="0" borderId="18" xfId="3" applyNumberFormat="1" applyFont="1" applyBorder="1" applyAlignment="1">
      <alignment horizontal="right" vertical="center"/>
    </xf>
    <xf numFmtId="10" fontId="0" fillId="0" borderId="18" xfId="3" applyNumberFormat="1" applyFont="1" applyBorder="1" applyAlignment="1">
      <alignment horizontal="right"/>
    </xf>
    <xf numFmtId="10" fontId="0" fillId="0" borderId="18" xfId="3" applyNumberFormat="1" applyFont="1" applyFill="1" applyBorder="1" applyAlignment="1">
      <alignment horizontal="right"/>
    </xf>
    <xf numFmtId="10" fontId="0" fillId="0" borderId="21" xfId="3" applyNumberFormat="1" applyFont="1" applyFill="1" applyBorder="1" applyAlignment="1">
      <alignment horizontal="right"/>
    </xf>
    <xf numFmtId="0" fontId="0" fillId="0" borderId="24" xfId="0" applyFill="1" applyBorder="1"/>
    <xf numFmtId="0" fontId="7" fillId="0" borderId="26" xfId="0" applyFont="1" applyFill="1" applyBorder="1" applyAlignment="1">
      <alignment horizontal="center"/>
    </xf>
    <xf numFmtId="164" fontId="0" fillId="0" borderId="24" xfId="1" applyNumberFormat="1" applyFont="1" applyFill="1" applyBorder="1"/>
    <xf numFmtId="0" fontId="7" fillId="5" borderId="5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8" xfId="0" applyBorder="1" applyAlignment="1">
      <alignment horizontal="center" vertical="center"/>
    </xf>
    <xf numFmtId="164" fontId="0" fillId="0" borderId="18" xfId="0" applyNumberFormat="1" applyFill="1" applyBorder="1"/>
    <xf numFmtId="164" fontId="0" fillId="0" borderId="21" xfId="0" applyNumberFormat="1" applyFill="1" applyBorder="1"/>
    <xf numFmtId="0" fontId="0" fillId="0" borderId="18" xfId="0" applyBorder="1" applyAlignment="1">
      <alignment horizontal="center" vertical="center" wrapText="1"/>
    </xf>
    <xf numFmtId="166" fontId="7" fillId="2" borderId="0" xfId="3" applyNumberFormat="1" applyFont="1" applyFill="1" applyBorder="1"/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/>
    </xf>
    <xf numFmtId="164" fontId="0" fillId="0" borderId="20" xfId="1" applyNumberFormat="1" applyFont="1" applyFill="1" applyBorder="1"/>
    <xf numFmtId="164" fontId="0" fillId="0" borderId="9" xfId="1" applyNumberFormat="1" applyFont="1" applyFill="1" applyBorder="1"/>
    <xf numFmtId="0" fontId="7" fillId="0" borderId="58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6" fillId="0" borderId="59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164" fontId="0" fillId="0" borderId="24" xfId="0" applyNumberFormat="1" applyBorder="1"/>
    <xf numFmtId="164" fontId="0" fillId="0" borderId="20" xfId="0" applyNumberFormat="1" applyBorder="1"/>
    <xf numFmtId="0" fontId="0" fillId="0" borderId="28" xfId="0" applyBorder="1"/>
    <xf numFmtId="169" fontId="0" fillId="0" borderId="0" xfId="1" applyNumberFormat="1" applyFont="1" applyBorder="1"/>
    <xf numFmtId="164" fontId="0" fillId="0" borderId="24" xfId="1" applyNumberFormat="1" applyFont="1" applyBorder="1"/>
    <xf numFmtId="164" fontId="0" fillId="0" borderId="20" xfId="1" applyNumberFormat="1" applyFont="1" applyBorder="1"/>
    <xf numFmtId="0" fontId="0" fillId="4" borderId="54" xfId="0" applyFill="1" applyBorder="1" applyAlignment="1">
      <alignment horizontal="center" vertical="center" wrapText="1"/>
    </xf>
    <xf numFmtId="164" fontId="0" fillId="4" borderId="18" xfId="1" applyNumberFormat="1" applyFont="1" applyFill="1" applyBorder="1"/>
    <xf numFmtId="164" fontId="0" fillId="4" borderId="21" xfId="1" applyNumberFormat="1" applyFont="1" applyFill="1" applyBorder="1"/>
    <xf numFmtId="0" fontId="23" fillId="4" borderId="54" xfId="0" applyFont="1" applyFill="1" applyBorder="1" applyAlignment="1">
      <alignment horizontal="center" vertical="center" wrapText="1"/>
    </xf>
    <xf numFmtId="164" fontId="24" fillId="4" borderId="18" xfId="1" applyNumberFormat="1" applyFont="1" applyFill="1" applyBorder="1"/>
    <xf numFmtId="164" fontId="24" fillId="4" borderId="21" xfId="1" applyNumberFormat="1" applyFont="1" applyFill="1" applyBorder="1"/>
    <xf numFmtId="164" fontId="0" fillId="0" borderId="2" xfId="0" applyNumberFormat="1" applyBorder="1"/>
    <xf numFmtId="164" fontId="0" fillId="0" borderId="26" xfId="0" applyNumberFormat="1" applyBorder="1"/>
    <xf numFmtId="0" fontId="22" fillId="0" borderId="16" xfId="0" applyFont="1" applyBorder="1" applyAlignment="1">
      <alignment vertical="center"/>
    </xf>
    <xf numFmtId="9" fontId="0" fillId="0" borderId="2" xfId="0" applyNumberFormat="1" applyBorder="1"/>
    <xf numFmtId="164" fontId="0" fillId="4" borderId="2" xfId="0" applyNumberFormat="1" applyFill="1" applyBorder="1"/>
    <xf numFmtId="164" fontId="0" fillId="4" borderId="3" xfId="0" applyNumberFormat="1" applyFill="1" applyBorder="1"/>
    <xf numFmtId="164" fontId="0" fillId="4" borderId="26" xfId="0" applyNumberFormat="1" applyFill="1" applyBorder="1"/>
    <xf numFmtId="164" fontId="0" fillId="4" borderId="28" xfId="0" applyNumberFormat="1" applyFill="1" applyBorder="1"/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164" fontId="7" fillId="0" borderId="2" xfId="1" applyNumberFormat="1" applyFont="1" applyBorder="1"/>
    <xf numFmtId="164" fontId="0" fillId="0" borderId="27" xfId="0" applyNumberFormat="1" applyFont="1" applyBorder="1"/>
    <xf numFmtId="0" fontId="0" fillId="0" borderId="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/>
    </xf>
    <xf numFmtId="0" fontId="23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169" fontId="24" fillId="4" borderId="0" xfId="1" applyNumberFormat="1" applyFont="1" applyFill="1" applyBorder="1"/>
    <xf numFmtId="169" fontId="0" fillId="0" borderId="0" xfId="0" applyNumberFormat="1" applyBorder="1"/>
    <xf numFmtId="169" fontId="0" fillId="0" borderId="0" xfId="0" applyNumberFormat="1" applyFont="1" applyBorder="1"/>
    <xf numFmtId="169" fontId="0" fillId="4" borderId="0" xfId="0" applyNumberFormat="1" applyFill="1" applyBorder="1"/>
    <xf numFmtId="44" fontId="0" fillId="0" borderId="0" xfId="0" applyNumberFormat="1"/>
    <xf numFmtId="44" fontId="7" fillId="0" borderId="0" xfId="0" applyNumberFormat="1" applyFont="1"/>
    <xf numFmtId="175" fontId="0" fillId="0" borderId="0" xfId="2" applyNumberFormat="1" applyFont="1" applyFill="1" applyBorder="1" applyAlignment="1">
      <alignment horizontal="center"/>
    </xf>
    <xf numFmtId="175" fontId="0" fillId="0" borderId="3" xfId="2" applyNumberFormat="1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right"/>
    </xf>
    <xf numFmtId="164" fontId="20" fillId="0" borderId="2" xfId="1" applyNumberFormat="1" applyFont="1" applyFill="1" applyBorder="1" applyAlignment="1">
      <alignment horizontal="right"/>
    </xf>
    <xf numFmtId="164" fontId="20" fillId="0" borderId="2" xfId="1" applyNumberFormat="1" applyFont="1" applyBorder="1"/>
    <xf numFmtId="164" fontId="20" fillId="0" borderId="26" xfId="1" applyNumberFormat="1" applyFont="1" applyBorder="1"/>
    <xf numFmtId="172" fontId="0" fillId="0" borderId="0" xfId="1" applyNumberFormat="1" applyFont="1"/>
    <xf numFmtId="173" fontId="0" fillId="0" borderId="0" xfId="1" applyNumberFormat="1" applyFont="1"/>
    <xf numFmtId="164" fontId="20" fillId="0" borderId="0" xfId="0" applyNumberFormat="1" applyFont="1" applyBorder="1"/>
    <xf numFmtId="164" fontId="20" fillId="0" borderId="27" xfId="0" applyNumberFormat="1" applyFont="1" applyBorder="1"/>
    <xf numFmtId="0" fontId="7" fillId="0" borderId="18" xfId="0" applyFont="1" applyBorder="1" applyAlignment="1">
      <alignment horizontal="center" vertical="center"/>
    </xf>
    <xf numFmtId="164" fontId="7" fillId="4" borderId="18" xfId="1" applyNumberFormat="1" applyFont="1" applyFill="1" applyBorder="1"/>
    <xf numFmtId="164" fontId="23" fillId="4" borderId="18" xfId="1" applyNumberFormat="1" applyFont="1" applyFill="1" applyBorder="1"/>
    <xf numFmtId="164" fontId="7" fillId="0" borderId="2" xfId="0" applyNumberFormat="1" applyFont="1" applyBorder="1"/>
    <xf numFmtId="164" fontId="7" fillId="0" borderId="0" xfId="0" applyNumberFormat="1" applyFont="1" applyBorder="1"/>
    <xf numFmtId="9" fontId="7" fillId="0" borderId="2" xfId="0" applyNumberFormat="1" applyFont="1" applyBorder="1"/>
    <xf numFmtId="164" fontId="7" fillId="4" borderId="2" xfId="0" applyNumberFormat="1" applyFont="1" applyFill="1" applyBorder="1"/>
    <xf numFmtId="164" fontId="7" fillId="4" borderId="3" xfId="0" applyNumberFormat="1" applyFont="1" applyFill="1" applyBorder="1"/>
    <xf numFmtId="164" fontId="0" fillId="0" borderId="17" xfId="1" applyNumberFormat="1" applyFont="1" applyBorder="1"/>
    <xf numFmtId="171" fontId="0" fillId="0" borderId="0" xfId="1" applyNumberFormat="1" applyFont="1" applyFill="1" applyBorder="1"/>
    <xf numFmtId="9" fontId="0" fillId="0" borderId="0" xfId="3" applyFont="1" applyBorder="1"/>
    <xf numFmtId="176" fontId="0" fillId="0" borderId="0" xfId="3" applyNumberFormat="1" applyFont="1" applyBorder="1"/>
    <xf numFmtId="0" fontId="0" fillId="0" borderId="50" xfId="0" applyBorder="1" applyAlignment="1">
      <alignment horizontal="center" vertical="center" wrapText="1"/>
    </xf>
    <xf numFmtId="169" fontId="23" fillId="4" borderId="0" xfId="1" applyNumberFormat="1" applyFont="1" applyFill="1" applyBorder="1"/>
    <xf numFmtId="169" fontId="7" fillId="4" borderId="0" xfId="1" applyNumberFormat="1" applyFont="1" applyFill="1" applyBorder="1"/>
    <xf numFmtId="0" fontId="25" fillId="8" borderId="0" xfId="0" applyFont="1" applyFill="1" applyBorder="1" applyAlignment="1">
      <alignment horizontal="left" vertical="center" wrapText="1"/>
    </xf>
    <xf numFmtId="0" fontId="25" fillId="8" borderId="0" xfId="0" applyFont="1" applyFill="1" applyBorder="1" applyAlignment="1">
      <alignment horizontal="center" vertical="center"/>
    </xf>
    <xf numFmtId="0" fontId="26" fillId="9" borderId="60" xfId="0" applyFont="1" applyFill="1" applyBorder="1" applyAlignment="1">
      <alignment horizontal="center" vertical="center" wrapText="1" readingOrder="1"/>
    </xf>
    <xf numFmtId="0" fontId="27" fillId="0" borderId="61" xfId="0" applyFont="1" applyBorder="1" applyAlignment="1">
      <alignment horizontal="center" vertical="center" wrapText="1" readingOrder="1"/>
    </xf>
    <xf numFmtId="0" fontId="29" fillId="0" borderId="61" xfId="0" applyFont="1" applyBorder="1" applyAlignment="1">
      <alignment horizontal="center" vertical="center" wrapText="1" readingOrder="1"/>
    </xf>
    <xf numFmtId="6" fontId="0" fillId="0" borderId="0" xfId="0" applyNumberFormat="1"/>
    <xf numFmtId="6" fontId="28" fillId="0" borderId="61" xfId="0" applyNumberFormat="1" applyFont="1" applyBorder="1" applyAlignment="1">
      <alignment horizontal="right" vertical="center" wrapText="1" readingOrder="1"/>
    </xf>
    <xf numFmtId="0" fontId="28" fillId="0" borderId="61" xfId="0" applyFont="1" applyBorder="1" applyAlignment="1">
      <alignment horizontal="left" vertical="center" wrapText="1" readingOrder="1"/>
    </xf>
    <xf numFmtId="0" fontId="27" fillId="0" borderId="62" xfId="0" applyFont="1" applyBorder="1" applyAlignment="1">
      <alignment horizontal="center" vertical="center" wrapText="1" readingOrder="1"/>
    </xf>
    <xf numFmtId="0" fontId="28" fillId="0" borderId="62" xfId="0" applyFont="1" applyBorder="1" applyAlignment="1">
      <alignment horizontal="left" vertical="center" wrapText="1" readingOrder="1"/>
    </xf>
    <xf numFmtId="0" fontId="29" fillId="0" borderId="62" xfId="0" applyFont="1" applyBorder="1" applyAlignment="1">
      <alignment horizontal="center" vertical="center" wrapText="1" readingOrder="1"/>
    </xf>
    <xf numFmtId="6" fontId="28" fillId="0" borderId="62" xfId="0" applyNumberFormat="1" applyFont="1" applyBorder="1" applyAlignment="1">
      <alignment horizontal="right" vertical="center" wrapText="1" readingOrder="1"/>
    </xf>
    <xf numFmtId="0" fontId="30" fillId="10" borderId="61" xfId="0" applyFont="1" applyFill="1" applyBorder="1" applyAlignment="1">
      <alignment horizontal="center" vertical="center" wrapText="1" readingOrder="1"/>
    </xf>
    <xf numFmtId="0" fontId="31" fillId="10" borderId="61" xfId="0" applyFont="1" applyFill="1" applyBorder="1" applyAlignment="1">
      <alignment horizontal="left" vertical="center" wrapText="1" readingOrder="1"/>
    </xf>
    <xf numFmtId="0" fontId="32" fillId="10" borderId="61" xfId="0" applyFont="1" applyFill="1" applyBorder="1" applyAlignment="1">
      <alignment horizontal="center" vertical="center" wrapText="1" readingOrder="1"/>
    </xf>
    <xf numFmtId="6" fontId="31" fillId="10" borderId="61" xfId="0" applyNumberFormat="1" applyFont="1" applyFill="1" applyBorder="1" applyAlignment="1">
      <alignment horizontal="right" vertical="center" wrapText="1" readingOrder="1"/>
    </xf>
    <xf numFmtId="6" fontId="31" fillId="10" borderId="62" xfId="0" applyNumberFormat="1" applyFont="1" applyFill="1" applyBorder="1" applyAlignment="1">
      <alignment vertical="center" wrapText="1" readingOrder="1"/>
    </xf>
    <xf numFmtId="0" fontId="7" fillId="0" borderId="35" xfId="0" applyFont="1" applyBorder="1"/>
    <xf numFmtId="44" fontId="7" fillId="0" borderId="0" xfId="2" applyFont="1" applyBorder="1"/>
    <xf numFmtId="44" fontId="7" fillId="0" borderId="3" xfId="2" applyFont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3" xfId="0" applyFont="1" applyFill="1" applyBorder="1"/>
    <xf numFmtId="164" fontId="7" fillId="0" borderId="0" xfId="0" applyNumberFormat="1" applyFont="1" applyFill="1" applyBorder="1"/>
    <xf numFmtId="43" fontId="7" fillId="0" borderId="0" xfId="1" applyFont="1" applyFill="1" applyBorder="1"/>
    <xf numFmtId="164" fontId="7" fillId="0" borderId="10" xfId="0" applyNumberFormat="1" applyFont="1" applyFill="1" applyBorder="1"/>
    <xf numFmtId="165" fontId="7" fillId="0" borderId="0" xfId="0" applyNumberFormat="1" applyFont="1" applyBorder="1"/>
    <xf numFmtId="165" fontId="7" fillId="0" borderId="29" xfId="0" applyNumberFormat="1" applyFont="1" applyBorder="1"/>
    <xf numFmtId="165" fontId="21" fillId="7" borderId="18" xfId="0" applyNumberFormat="1" applyFont="1" applyFill="1" applyBorder="1"/>
    <xf numFmtId="168" fontId="7" fillId="0" borderId="0" xfId="0" applyNumberFormat="1" applyFont="1"/>
    <xf numFmtId="10" fontId="7" fillId="0" borderId="0" xfId="3" applyNumberFormat="1" applyFont="1"/>
    <xf numFmtId="9" fontId="28" fillId="0" borderId="61" xfId="0" applyNumberFormat="1" applyFont="1" applyBorder="1" applyAlignment="1">
      <alignment horizontal="right" vertical="center" wrapText="1" readingOrder="1"/>
    </xf>
    <xf numFmtId="0" fontId="33" fillId="0" borderId="61" xfId="0" applyFont="1" applyBorder="1" applyAlignment="1">
      <alignment horizontal="center" vertical="center" wrapText="1" readingOrder="1"/>
    </xf>
    <xf numFmtId="0" fontId="33" fillId="0" borderId="61" xfId="0" applyFont="1" applyBorder="1" applyAlignment="1">
      <alignment horizontal="left" vertical="center" wrapText="1" readingOrder="1"/>
    </xf>
    <xf numFmtId="6" fontId="31" fillId="10" borderId="5" xfId="0" applyNumberFormat="1" applyFont="1" applyFill="1" applyBorder="1" applyAlignment="1">
      <alignment vertical="center" wrapText="1" readingOrder="1"/>
    </xf>
    <xf numFmtId="6" fontId="31" fillId="10" borderId="14" xfId="0" applyNumberFormat="1" applyFont="1" applyFill="1" applyBorder="1" applyAlignment="1">
      <alignment vertical="center" wrapText="1" readingOrder="1"/>
    </xf>
    <xf numFmtId="8" fontId="34" fillId="0" borderId="20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177" fontId="0" fillId="0" borderId="0" xfId="0" applyNumberFormat="1"/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left" vertical="center" wrapText="1" readingOrder="1"/>
    </xf>
    <xf numFmtId="0" fontId="36" fillId="0" borderId="0" xfId="0" applyFont="1"/>
    <xf numFmtId="0" fontId="35" fillId="0" borderId="60" xfId="0" applyFont="1" applyBorder="1" applyAlignment="1">
      <alignment horizontal="left" vertical="center" wrapText="1" readingOrder="1"/>
    </xf>
    <xf numFmtId="0" fontId="32" fillId="10" borderId="61" xfId="0" applyFont="1" applyFill="1" applyBorder="1" applyAlignment="1">
      <alignment horizontal="left" vertical="center" wrapText="1" readingOrder="1"/>
    </xf>
    <xf numFmtId="0" fontId="37" fillId="0" borderId="61" xfId="0" applyFont="1" applyBorder="1" applyAlignment="1">
      <alignment horizontal="center" vertical="center" wrapText="1" readingOrder="1"/>
    </xf>
    <xf numFmtId="0" fontId="37" fillId="0" borderId="61" xfId="0" applyFont="1" applyBorder="1" applyAlignment="1">
      <alignment horizontal="left" vertical="center" wrapText="1" readingOrder="1"/>
    </xf>
    <xf numFmtId="0" fontId="38" fillId="3" borderId="0" xfId="0" applyFont="1" applyFill="1"/>
    <xf numFmtId="0" fontId="39" fillId="3" borderId="60" xfId="0" applyFont="1" applyFill="1" applyBorder="1" applyAlignment="1">
      <alignment horizontal="center" vertical="center" wrapText="1" readingOrder="1"/>
    </xf>
    <xf numFmtId="0" fontId="7" fillId="0" borderId="1" xfId="0" applyFont="1" applyBorder="1"/>
    <xf numFmtId="0" fontId="7" fillId="0" borderId="5" xfId="0" applyFont="1" applyBorder="1"/>
    <xf numFmtId="9" fontId="0" fillId="0" borderId="5" xfId="3" applyFont="1" applyBorder="1"/>
    <xf numFmtId="0" fontId="0" fillId="0" borderId="5" xfId="0" applyBorder="1"/>
    <xf numFmtId="0" fontId="30" fillId="10" borderId="5" xfId="0" applyFont="1" applyFill="1" applyBorder="1" applyAlignment="1">
      <alignment horizontal="center" vertical="center" wrapText="1" readingOrder="1"/>
    </xf>
    <xf numFmtId="0" fontId="31" fillId="10" borderId="5" xfId="0" applyFont="1" applyFill="1" applyBorder="1" applyAlignment="1">
      <alignment horizontal="left" vertical="center" wrapText="1" readingOrder="1"/>
    </xf>
    <xf numFmtId="0" fontId="32" fillId="10" borderId="5" xfId="0" applyFont="1" applyFill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left" vertical="center"/>
    </xf>
    <xf numFmtId="164" fontId="15" fillId="0" borderId="19" xfId="1" applyNumberFormat="1" applyFont="1" applyBorder="1"/>
    <xf numFmtId="0" fontId="0" fillId="2" borderId="56" xfId="0" applyFill="1" applyBorder="1" applyAlignment="1">
      <alignment horizontal="center" vertical="center"/>
    </xf>
    <xf numFmtId="0" fontId="7" fillId="0" borderId="24" xfId="0" applyFont="1" applyBorder="1"/>
    <xf numFmtId="9" fontId="0" fillId="0" borderId="25" xfId="0" applyNumberFormat="1" applyBorder="1"/>
    <xf numFmtId="0" fontId="7" fillId="0" borderId="26" xfId="0" applyFont="1" applyBorder="1"/>
    <xf numFmtId="9" fontId="0" fillId="0" borderId="28" xfId="0" applyNumberFormat="1" applyBorder="1"/>
    <xf numFmtId="9" fontId="0" fillId="0" borderId="20" xfId="0" applyNumberFormat="1" applyBorder="1"/>
    <xf numFmtId="0" fontId="0" fillId="0" borderId="25" xfId="0" applyBorder="1"/>
    <xf numFmtId="9" fontId="0" fillId="0" borderId="27" xfId="0" applyNumberFormat="1" applyBorder="1"/>
    <xf numFmtId="9" fontId="0" fillId="0" borderId="25" xfId="3" applyFont="1" applyBorder="1"/>
    <xf numFmtId="9" fontId="0" fillId="0" borderId="28" xfId="3" applyFont="1" applyBorder="1"/>
    <xf numFmtId="164" fontId="19" fillId="0" borderId="0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0" fillId="3" borderId="3" xfId="1" applyNumberFormat="1" applyFont="1" applyFill="1" applyBorder="1"/>
    <xf numFmtId="43" fontId="0" fillId="0" borderId="0" xfId="0" applyNumberFormat="1" applyFill="1" applyBorder="1"/>
    <xf numFmtId="178" fontId="0" fillId="2" borderId="0" xfId="0" applyNumberFormat="1" applyFill="1"/>
    <xf numFmtId="0" fontId="7" fillId="3" borderId="0" xfId="0" applyFont="1" applyFill="1"/>
    <xf numFmtId="177" fontId="0" fillId="3" borderId="0" xfId="0" applyNumberFormat="1" applyFill="1"/>
    <xf numFmtId="43" fontId="0" fillId="0" borderId="0" xfId="1" applyFont="1" applyFill="1" applyBorder="1" applyAlignment="1">
      <alignment horizontal="center"/>
    </xf>
    <xf numFmtId="166" fontId="0" fillId="0" borderId="0" xfId="3" applyNumberFormat="1" applyFont="1" applyBorder="1"/>
    <xf numFmtId="0" fontId="11" fillId="0" borderId="4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22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0" fillId="5" borderId="24" xfId="0" applyFont="1" applyFill="1" applyBorder="1" applyAlignment="1">
      <alignment horizontal="center" vertical="center"/>
    </xf>
    <xf numFmtId="0" fontId="0" fillId="5" borderId="20" xfId="0" applyFont="1" applyFill="1" applyBorder="1" applyAlignment="1">
      <alignment horizontal="center" vertical="center"/>
    </xf>
    <xf numFmtId="0" fontId="0" fillId="5" borderId="31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5" fillId="6" borderId="15" xfId="0" quotePrefix="1" applyFont="1" applyFill="1" applyBorder="1" applyAlignment="1">
      <alignment horizontal="center"/>
    </xf>
    <xf numFmtId="0" fontId="5" fillId="6" borderId="17" xfId="0" quotePrefix="1" applyFont="1" applyFill="1" applyBorder="1" applyAlignment="1">
      <alignment horizontal="center"/>
    </xf>
    <xf numFmtId="0" fontId="5" fillId="6" borderId="16" xfId="0" quotePrefix="1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6" borderId="26" xfId="0" quotePrefix="1" applyFont="1" applyFill="1" applyBorder="1" applyAlignment="1">
      <alignment horizontal="center"/>
    </xf>
    <xf numFmtId="0" fontId="5" fillId="6" borderId="27" xfId="0" quotePrefix="1" applyFont="1" applyFill="1" applyBorder="1" applyAlignment="1">
      <alignment horizontal="center"/>
    </xf>
    <xf numFmtId="0" fontId="5" fillId="6" borderId="28" xfId="0" quotePrefix="1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0" fillId="5" borderId="22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wrapText="1"/>
    </xf>
    <xf numFmtId="0" fontId="5" fillId="6" borderId="16" xfId="0" applyFont="1" applyFill="1" applyBorder="1" applyAlignment="1">
      <alignment horizontal="center" wrapText="1"/>
    </xf>
    <xf numFmtId="0" fontId="5" fillId="6" borderId="24" xfId="0" applyFont="1" applyFill="1" applyBorder="1" applyAlignment="1">
      <alignment horizontal="center" wrapText="1"/>
    </xf>
    <xf numFmtId="0" fontId="5" fillId="6" borderId="20" xfId="0" applyFont="1" applyFill="1" applyBorder="1" applyAlignment="1">
      <alignment horizontal="center" wrapText="1"/>
    </xf>
    <xf numFmtId="0" fontId="5" fillId="6" borderId="25" xfId="0" applyFont="1" applyFill="1" applyBorder="1" applyAlignment="1">
      <alignment horizontal="center" wrapText="1"/>
    </xf>
    <xf numFmtId="0" fontId="5" fillId="6" borderId="15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164" fontId="19" fillId="0" borderId="24" xfId="1" applyNumberFormat="1" applyFont="1" applyBorder="1" applyAlignment="1">
      <alignment horizontal="center" vertical="center"/>
    </xf>
    <xf numFmtId="164" fontId="19" fillId="0" borderId="20" xfId="1" applyNumberFormat="1" applyFont="1" applyBorder="1" applyAlignment="1">
      <alignment horizontal="center" vertical="center"/>
    </xf>
    <xf numFmtId="164" fontId="19" fillId="0" borderId="25" xfId="1" applyNumberFormat="1" applyFont="1" applyBorder="1" applyAlignment="1">
      <alignment horizontal="center" vertical="center"/>
    </xf>
    <xf numFmtId="164" fontId="19" fillId="0" borderId="15" xfId="1" applyNumberFormat="1" applyFont="1" applyBorder="1" applyAlignment="1">
      <alignment horizontal="center" vertical="center"/>
    </xf>
    <xf numFmtId="164" fontId="19" fillId="0" borderId="17" xfId="1" applyNumberFormat="1" applyFont="1" applyBorder="1" applyAlignment="1">
      <alignment horizontal="center" vertical="center"/>
    </xf>
    <xf numFmtId="164" fontId="19" fillId="0" borderId="16" xfId="1" applyNumberFormat="1" applyFont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164" fontId="7" fillId="0" borderId="24" xfId="1" applyNumberFormat="1" applyFont="1" applyFill="1" applyBorder="1" applyAlignment="1">
      <alignment horizontal="center"/>
    </xf>
    <xf numFmtId="164" fontId="7" fillId="0" borderId="25" xfId="1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42" fillId="0" borderId="0" xfId="0" applyFont="1"/>
    <xf numFmtId="0" fontId="41" fillId="0" borderId="0" xfId="0" applyFont="1"/>
    <xf numFmtId="0" fontId="0" fillId="2" borderId="3" xfId="0" applyFill="1" applyBorder="1" applyAlignment="1"/>
    <xf numFmtId="8" fontId="40" fillId="0" borderId="0" xfId="0" applyNumberFormat="1" applyFont="1"/>
    <xf numFmtId="0" fontId="40" fillId="0" borderId="0" xfId="0" applyFont="1"/>
    <xf numFmtId="8" fontId="0" fillId="0" borderId="0" xfId="0" applyNumberFormat="1"/>
    <xf numFmtId="9" fontId="0" fillId="0" borderId="0" xfId="3" applyNumberFormat="1" applyFont="1" applyFill="1" applyBorder="1"/>
    <xf numFmtId="0" fontId="16" fillId="0" borderId="23" xfId="0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7" fillId="6" borderId="0" xfId="0" applyFont="1" applyFill="1" applyBorder="1" applyAlignment="1">
      <alignment horizontal="center"/>
    </xf>
    <xf numFmtId="0" fontId="7" fillId="5" borderId="38" xfId="0" applyFont="1" applyFill="1" applyBorder="1" applyAlignment="1">
      <alignment horizontal="center" vertical="center" wrapText="1"/>
    </xf>
    <xf numFmtId="165" fontId="0" fillId="0" borderId="47" xfId="0" applyNumberFormat="1" applyBorder="1"/>
    <xf numFmtId="165" fontId="0" fillId="0" borderId="3" xfId="0" applyNumberFormat="1" applyBorder="1"/>
    <xf numFmtId="165" fontId="7" fillId="0" borderId="3" xfId="0" applyNumberFormat="1" applyFont="1" applyBorder="1"/>
    <xf numFmtId="165" fontId="0" fillId="0" borderId="28" xfId="0" applyNumberFormat="1" applyBorder="1"/>
    <xf numFmtId="164" fontId="19" fillId="0" borderId="20" xfId="1" applyNumberFormat="1" applyFont="1" applyBorder="1" applyAlignment="1">
      <alignment horizontal="center" vertical="center" wrapText="1"/>
    </xf>
    <xf numFmtId="171" fontId="17" fillId="0" borderId="0" xfId="1" applyNumberFormat="1" applyFont="1" applyFill="1" applyBorder="1" applyAlignment="1">
      <alignment horizontal="center"/>
    </xf>
    <xf numFmtId="171" fontId="43" fillId="0" borderId="0" xfId="1" applyNumberFormat="1" applyFont="1" applyFill="1" applyBorder="1" applyAlignment="1">
      <alignment horizontal="center"/>
    </xf>
    <xf numFmtId="171" fontId="43" fillId="0" borderId="27" xfId="1" applyNumberFormat="1" applyFont="1" applyFill="1" applyBorder="1" applyAlignment="1">
      <alignment horizontal="center"/>
    </xf>
    <xf numFmtId="164" fontId="44" fillId="0" borderId="9" xfId="0" applyNumberFormat="1" applyFont="1" applyFill="1" applyBorder="1"/>
    <xf numFmtId="0" fontId="0" fillId="0" borderId="57" xfId="0" applyFill="1" applyBorder="1"/>
    <xf numFmtId="10" fontId="0" fillId="0" borderId="21" xfId="3" applyNumberFormat="1" applyFont="1" applyBorder="1" applyAlignment="1">
      <alignment horizontal="right"/>
    </xf>
    <xf numFmtId="0" fontId="7" fillId="0" borderId="5" xfId="0" applyFont="1" applyFill="1" applyBorder="1" applyAlignment="1">
      <alignment horizontal="center" vertical="center" wrapText="1"/>
    </xf>
    <xf numFmtId="6" fontId="0" fillId="3" borderId="0" xfId="0" applyNumberFormat="1" applyFill="1"/>
    <xf numFmtId="8" fontId="0" fillId="3" borderId="0" xfId="0" applyNumberFormat="1" applyFill="1"/>
    <xf numFmtId="0" fontId="8" fillId="0" borderId="0" xfId="0" applyFont="1" applyAlignment="1">
      <alignment horizontal="left"/>
    </xf>
    <xf numFmtId="44" fontId="45" fillId="2" borderId="0" xfId="2" applyFont="1" applyFill="1" applyBorder="1" applyAlignment="1">
      <alignment horizontal="center"/>
    </xf>
    <xf numFmtId="44" fontId="45" fillId="2" borderId="3" xfId="2" applyFont="1" applyFill="1" applyBorder="1" applyAlignment="1">
      <alignment horizontal="center"/>
    </xf>
    <xf numFmtId="0" fontId="46" fillId="0" borderId="24" xfId="0" applyFont="1" applyBorder="1"/>
    <xf numFmtId="0" fontId="0" fillId="0" borderId="20" xfId="0" applyBorder="1"/>
    <xf numFmtId="0" fontId="8" fillId="0" borderId="2" xfId="0" applyFont="1" applyBorder="1" applyAlignment="1">
      <alignment horizontal="center"/>
    </xf>
    <xf numFmtId="0" fontId="22" fillId="0" borderId="2" xfId="0" applyFont="1" applyBorder="1" applyAlignment="1">
      <alignment horizontal="left"/>
    </xf>
    <xf numFmtId="0" fontId="22" fillId="0" borderId="26" xfId="0" applyFont="1" applyBorder="1" applyAlignment="1">
      <alignment horizontal="left"/>
    </xf>
    <xf numFmtId="0" fontId="0" fillId="0" borderId="27" xfId="0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A7F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'PPT Formatting'!$C$90</c:f>
              <c:strCache>
                <c:ptCount val="1"/>
                <c:pt idx="0">
                  <c:v>Cost Cap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'PPT Formatting'!$D$89:$N$89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'PPT Formatting'!$D$90:$N$90</c:f>
              <c:numCache>
                <c:formatCode>"$"#,##0_);[Red]\("$"#,##0\)</c:formatCode>
                <c:ptCount val="11"/>
                <c:pt idx="0">
                  <c:v>932.57947891150354</c:v>
                </c:pt>
                <c:pt idx="1">
                  <c:v>944.02370091869227</c:v>
                </c:pt>
                <c:pt idx="2">
                  <c:v>760.29772118603989</c:v>
                </c:pt>
                <c:pt idx="3">
                  <c:v>788.45197882711739</c:v>
                </c:pt>
                <c:pt idx="4">
                  <c:v>830.3716537905234</c:v>
                </c:pt>
                <c:pt idx="5">
                  <c:v>878.06781871327041</c:v>
                </c:pt>
                <c:pt idx="6">
                  <c:v>922.32666655259266</c:v>
                </c:pt>
                <c:pt idx="7">
                  <c:v>977.39307209696108</c:v>
                </c:pt>
                <c:pt idx="8">
                  <c:v>1034.888616454296</c:v>
                </c:pt>
                <c:pt idx="9">
                  <c:v>1091.4581737291962</c:v>
                </c:pt>
                <c:pt idx="10">
                  <c:v>1141.0234916402478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B8-E44F-BEA1-A1E115EBEEA4}"/>
            </c:ext>
          </c:extLst>
        </c:ser>
        <c:ser>
          <c:idx val="1"/>
          <c:order val="1"/>
          <c:tx>
            <c:strRef>
              <c:f>'PPT Formatting'!$C$91</c:f>
              <c:strCache>
                <c:ptCount val="1"/>
                <c:pt idx="0">
                  <c:v>Net RPS Costs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'PPT Formatting'!$D$89:$N$89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'PPT Formatting'!$D$91:$N$91</c:f>
              <c:numCache>
                <c:formatCode>"$"#,##0_);[Red]\("$"#,##0\)</c:formatCode>
                <c:ptCount val="11"/>
                <c:pt idx="0">
                  <c:v>476.46584626743976</c:v>
                </c:pt>
                <c:pt idx="1">
                  <c:v>526.86390688533504</c:v>
                </c:pt>
                <c:pt idx="2">
                  <c:v>480.59224734774665</c:v>
                </c:pt>
                <c:pt idx="3">
                  <c:v>513.95587515757859</c:v>
                </c:pt>
                <c:pt idx="4">
                  <c:v>500.47150158142205</c:v>
                </c:pt>
                <c:pt idx="5">
                  <c:v>497.60727806709917</c:v>
                </c:pt>
                <c:pt idx="6">
                  <c:v>457.16245200091936</c:v>
                </c:pt>
                <c:pt idx="7">
                  <c:v>427.21339132904916</c:v>
                </c:pt>
                <c:pt idx="8">
                  <c:v>343.35825183268707</c:v>
                </c:pt>
                <c:pt idx="9">
                  <c:v>256.40388210997475</c:v>
                </c:pt>
                <c:pt idx="10">
                  <c:v>154.18496669211518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8-E44F-BEA1-A1E115EBE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451456"/>
        <c:axId val="412284368"/>
      </c:lineChart>
      <c:catAx>
        <c:axId val="4164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284368"/>
        <c:crosses val="autoZero"/>
        <c:auto val="1"/>
        <c:lblAlgn val="ctr"/>
        <c:lblOffset val="100"/>
        <c:noMultiLvlLbl val="0"/>
      </c:catAx>
      <c:valAx>
        <c:axId val="41228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$Millions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13463</xdr:colOff>
      <xdr:row>64</xdr:row>
      <xdr:rowOff>32550</xdr:rowOff>
    </xdr:from>
    <xdr:to>
      <xdr:col>28</xdr:col>
      <xdr:colOff>485089</xdr:colOff>
      <xdr:row>86</xdr:row>
      <xdr:rowOff>160156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C8305B-DF52-AD43-96AD-4125C4EA7A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st%20Cap%20Tool_for%20public%20discussion_04-07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 &amp; Footnotes"/>
      <sheetName val="Cost Cap Tool"/>
    </sheetNames>
    <sheetDataSet>
      <sheetData sheetId="0"/>
      <sheetData sheetId="1">
        <row r="72">
          <cell r="P72">
            <v>66701200</v>
          </cell>
        </row>
        <row r="73">
          <cell r="P73">
            <v>133402400</v>
          </cell>
        </row>
        <row r="93">
          <cell r="P93">
            <v>400207200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g Tyson" refreshedDate="44341.570896296296" createdVersion="6" refreshedVersion="6" minRefreshableVersion="3" recordCount="12" xr:uid="{EE0939F6-11A1-9C44-A874-704638147B10}">
  <cacheSource type="worksheet">
    <worksheetSource ref="A7:I19" sheet="Incentive Detail"/>
  </cacheSource>
  <cacheFields count="9">
    <cacheField name="Category" numFmtId="0">
      <sharedItems count="5">
        <s v="Basic Grid"/>
        <s v="Pref Grid"/>
        <s v="CS"/>
        <s v="Sm NM"/>
        <s v="Lg NM"/>
      </sharedItems>
    </cacheField>
    <cacheField name="SubCat" numFmtId="0">
      <sharedItems count="12">
        <s v="Grid Ground"/>
        <s v="Grid Carport"/>
        <s v="Grid Roof"/>
        <s v="CS Ground"/>
        <s v="CS Roof Med"/>
        <s v="CS Roof Lg"/>
        <s v="Residential"/>
        <s v="C&amp;I Carport"/>
        <s v="C&amp;I Ground Med"/>
        <s v="C&amp;I Roof Med"/>
        <s v="C&amp;I Ground Lg"/>
        <s v="C&amp;I Roof Lg"/>
      </sharedItems>
    </cacheField>
    <cacheField name="Straw Capacity" numFmtId="0">
      <sharedItems containsString="0" containsBlank="1" containsNumber="1" containsInteger="1" minValue="40" maxValue="150"/>
    </cacheField>
    <cacheField name="Straw Incentive" numFmtId="167">
      <sharedItems containsSemiMixedTypes="0" containsString="0" containsNumber="1" containsInteger="1" minValue="40" maxValue="90"/>
    </cacheField>
    <cacheField name="Adjusted Incentive" numFmtId="0">
      <sharedItems containsString="0" containsBlank="1" containsNumber="1" minValue="85" maxValue="132"/>
    </cacheField>
    <cacheField name="All Non-Res NM Average" numFmtId="167">
      <sharedItems containsString="0" containsBlank="1" containsNumber="1" minValue="116.18" maxValue="116.18"/>
    </cacheField>
    <cacheField name="SubCat Incentive" numFmtId="177">
      <sharedItems containsSemiMixedTypes="0" containsString="0" containsNumber="1" minValue="78.5" maxValue="170"/>
    </cacheField>
    <cacheField name="Cat Capacity" numFmtId="0">
      <sharedItems containsString="0" containsBlank="1" containsNumber="1" containsInteger="1" minValue="50" maxValue="320"/>
    </cacheField>
    <cacheField name="SubCat Est Capacity" numFmtId="0">
      <sharedItems containsSemiMixedTypes="0" containsString="0" containsNumber="1" containsInteger="1" minValue="25" maxValue="1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130"/>
    <n v="40"/>
    <n v="85"/>
    <m/>
    <n v="85"/>
    <n v="50"/>
    <n v="50"/>
  </r>
  <r>
    <x v="1"/>
    <x v="1"/>
    <n v="130"/>
    <n v="80"/>
    <n v="132"/>
    <m/>
    <n v="160"/>
    <n v="100"/>
    <n v="60"/>
  </r>
  <r>
    <x v="1"/>
    <x v="2"/>
    <m/>
    <n v="80"/>
    <m/>
    <m/>
    <n v="90"/>
    <m/>
    <n v="40"/>
  </r>
  <r>
    <x v="2"/>
    <x v="3"/>
    <n v="150"/>
    <n v="90"/>
    <n v="90"/>
    <m/>
    <n v="90"/>
    <n v="150"/>
    <n v="70"/>
  </r>
  <r>
    <x v="2"/>
    <x v="4"/>
    <m/>
    <n v="90"/>
    <m/>
    <m/>
    <n v="90"/>
    <m/>
    <n v="30"/>
  </r>
  <r>
    <x v="2"/>
    <x v="5"/>
    <m/>
    <n v="90"/>
    <m/>
    <m/>
    <n v="90"/>
    <m/>
    <n v="50"/>
  </r>
  <r>
    <x v="3"/>
    <x v="6"/>
    <n v="150"/>
    <n v="85"/>
    <n v="105.75"/>
    <m/>
    <n v="78.5"/>
    <n v="320"/>
    <n v="150"/>
  </r>
  <r>
    <x v="3"/>
    <x v="7"/>
    <n v="110"/>
    <n v="85"/>
    <m/>
    <n v="116.18"/>
    <n v="170"/>
    <m/>
    <n v="25"/>
  </r>
  <r>
    <x v="3"/>
    <x v="8"/>
    <n v="40"/>
    <n v="85"/>
    <m/>
    <m/>
    <n v="118.5"/>
    <m/>
    <n v="35"/>
  </r>
  <r>
    <x v="3"/>
    <x v="9"/>
    <m/>
    <n v="85"/>
    <m/>
    <m/>
    <n v="124.25"/>
    <m/>
    <n v="110"/>
  </r>
  <r>
    <x v="4"/>
    <x v="10"/>
    <n v="40"/>
    <n v="80"/>
    <n v="87.25"/>
    <m/>
    <n v="86"/>
    <n v="80"/>
    <n v="30"/>
  </r>
  <r>
    <x v="4"/>
    <x v="11"/>
    <m/>
    <n v="80"/>
    <m/>
    <m/>
    <n v="88"/>
    <m/>
    <n v="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FB100F-DE8E-2243-93F4-F8A9A39B470F}" name="PivotTable10" cacheId="38" dataOnRows="1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>
  <location ref="A22:G25" firstHeaderRow="1" firstDataRow="2" firstDataCol="1"/>
  <pivotFields count="9"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dataField="1" showAll="0"/>
    <pivotField showAll="0"/>
    <pivotField numFmtId="167" showAll="0"/>
    <pivotField dataField="1" showAll="0"/>
    <pivotField showAll="0"/>
  </pivotFields>
  <rowFields count="1">
    <field x="-2"/>
  </rowFields>
  <rowItems count="2">
    <i>
      <x/>
    </i>
    <i i="1">
      <x v="1"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2">
    <dataField name="Sum of Cat Capacity" fld="7" baseField="0" baseItem="0"/>
    <dataField name="Sum of Adjusted Incentiv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"/>
  <sheetViews>
    <sheetView tabSelected="1" zoomScale="90" zoomScaleNormal="90" workbookViewId="0">
      <selection activeCell="A25" sqref="A25"/>
    </sheetView>
  </sheetViews>
  <sheetFormatPr baseColWidth="10" defaultColWidth="8.83203125" defaultRowHeight="15"/>
  <cols>
    <col min="1" max="1" width="11.83203125" bestFit="1" customWidth="1"/>
    <col min="12" max="12" width="10.1640625" bestFit="1" customWidth="1"/>
  </cols>
  <sheetData>
    <row r="1" spans="1:23" ht="21">
      <c r="A1" s="20" t="s">
        <v>86</v>
      </c>
    </row>
    <row r="2" spans="1:23" ht="21">
      <c r="A2" s="20"/>
    </row>
    <row r="3" spans="1:23" ht="21">
      <c r="A3" s="20" t="s">
        <v>84</v>
      </c>
    </row>
    <row r="4" spans="1:23" ht="21">
      <c r="A4" s="20"/>
    </row>
    <row r="5" spans="1:23" ht="21">
      <c r="A5" s="182">
        <v>44293</v>
      </c>
    </row>
    <row r="6" spans="1:23" ht="21" customHeight="1">
      <c r="A6" s="21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</row>
    <row r="7" spans="1:23" ht="56" customHeight="1">
      <c r="A7" s="446" t="s">
        <v>87</v>
      </c>
      <c r="B7" s="446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  <c r="V7" s="446"/>
    </row>
    <row r="8" spans="1:23" ht="21" customHeight="1">
      <c r="A8" s="169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</row>
    <row r="9" spans="1:23" ht="17">
      <c r="A9" s="170" t="s">
        <v>85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2"/>
    </row>
    <row r="10" spans="1:23" ht="17" customHeight="1">
      <c r="A10" s="173">
        <v>1</v>
      </c>
      <c r="B10" s="444" t="s">
        <v>79</v>
      </c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  <c r="V10" s="445"/>
    </row>
    <row r="11" spans="1:23" ht="17">
      <c r="A11" s="174">
        <f>A10+1</f>
        <v>2</v>
      </c>
      <c r="B11" s="175" t="s">
        <v>80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7"/>
    </row>
    <row r="12" spans="1:23" ht="17">
      <c r="A12" s="174">
        <f>A11+1</f>
        <v>3</v>
      </c>
      <c r="B12" s="176" t="s">
        <v>81</v>
      </c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7"/>
    </row>
    <row r="13" spans="1:23" ht="15.5" customHeight="1">
      <c r="A13" s="174">
        <f>A12+1</f>
        <v>4</v>
      </c>
      <c r="B13" s="176" t="s">
        <v>83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9"/>
    </row>
    <row r="14" spans="1:23" ht="17">
      <c r="A14" s="180">
        <f>A13+1</f>
        <v>5</v>
      </c>
      <c r="B14" s="181" t="s">
        <v>82</v>
      </c>
      <c r="C14" s="181"/>
      <c r="D14" s="181"/>
      <c r="E14" s="181"/>
      <c r="F14" s="181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7"/>
    </row>
    <row r="15" spans="1:23" ht="16">
      <c r="A15" s="34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7"/>
    </row>
    <row r="16" spans="1:23" ht="16">
      <c r="A16" s="34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2" ht="17" thickBot="1">
      <c r="A17" s="34"/>
    </row>
    <row r="18" spans="1:22" ht="26">
      <c r="A18" s="524" t="s">
        <v>350</v>
      </c>
      <c r="B18" s="525"/>
      <c r="C18" s="525"/>
      <c r="D18" s="525"/>
      <c r="E18" s="525"/>
      <c r="F18" s="525"/>
      <c r="G18" s="525"/>
      <c r="H18" s="525"/>
      <c r="I18" s="525"/>
      <c r="J18" s="525"/>
      <c r="K18" s="525"/>
      <c r="L18" s="525"/>
      <c r="M18" s="525"/>
      <c r="N18" s="525"/>
      <c r="O18" s="525"/>
      <c r="P18" s="525"/>
      <c r="Q18" s="525"/>
      <c r="R18" s="525"/>
      <c r="S18" s="525"/>
      <c r="T18" s="525"/>
      <c r="U18" s="525"/>
      <c r="V18" s="431"/>
    </row>
    <row r="19" spans="1:22" ht="16">
      <c r="A19" s="52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16"/>
    </row>
    <row r="20" spans="1:22" ht="21">
      <c r="A20" s="527" t="s">
        <v>351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16"/>
    </row>
    <row r="21" spans="1:22" ht="21">
      <c r="A21" s="527" t="s">
        <v>357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16"/>
    </row>
    <row r="22" spans="1:22" ht="21">
      <c r="A22" s="527" t="s">
        <v>352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16"/>
    </row>
    <row r="23" spans="1:22" ht="21">
      <c r="A23" s="527" t="s">
        <v>353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16"/>
    </row>
    <row r="24" spans="1:22" ht="21">
      <c r="A24" s="527" t="s">
        <v>354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16"/>
    </row>
    <row r="25" spans="1:22" ht="21">
      <c r="A25" s="527" t="s">
        <v>355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16"/>
    </row>
    <row r="26" spans="1:22" ht="22" thickBot="1">
      <c r="A26" s="528" t="s">
        <v>356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306"/>
    </row>
    <row r="27" spans="1:22" ht="16">
      <c r="A27" s="521"/>
    </row>
    <row r="28" spans="1:22" ht="16">
      <c r="A28" s="521"/>
    </row>
    <row r="29" spans="1:22">
      <c r="A29" s="404"/>
    </row>
  </sheetData>
  <mergeCells count="2">
    <mergeCell ref="B10:V10"/>
    <mergeCell ref="A7:V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131"/>
  <sheetViews>
    <sheetView topLeftCell="A37" zoomScale="110" zoomScaleNormal="110" workbookViewId="0">
      <pane xSplit="1" topLeftCell="AA1" activePane="topRight" state="frozen"/>
      <selection activeCell="A50" sqref="A50"/>
      <selection pane="topRight" activeCell="V35" sqref="V35"/>
    </sheetView>
  </sheetViews>
  <sheetFormatPr baseColWidth="10" defaultColWidth="8.83203125" defaultRowHeight="15"/>
  <cols>
    <col min="1" max="1" width="14.5" customWidth="1"/>
    <col min="2" max="2" width="21.83203125" customWidth="1"/>
    <col min="3" max="3" width="19.5" customWidth="1"/>
    <col min="4" max="4" width="20" customWidth="1"/>
    <col min="5" max="5" width="21" customWidth="1"/>
    <col min="6" max="6" width="15.5" customWidth="1"/>
    <col min="7" max="7" width="18.5" customWidth="1"/>
    <col min="8" max="8" width="22.1640625" customWidth="1"/>
    <col min="9" max="9" width="17.6640625" customWidth="1"/>
    <col min="10" max="10" width="20.5" customWidth="1"/>
    <col min="11" max="11" width="22.6640625" customWidth="1"/>
    <col min="12" max="12" width="18.83203125" customWidth="1"/>
    <col min="13" max="13" width="19.33203125" customWidth="1"/>
    <col min="14" max="14" width="17.83203125" customWidth="1"/>
    <col min="15" max="15" width="16.1640625" customWidth="1"/>
    <col min="16" max="16" width="18.1640625" customWidth="1"/>
    <col min="17" max="17" width="19.5" customWidth="1"/>
    <col min="18" max="19" width="19.83203125" customWidth="1"/>
    <col min="20" max="20" width="19" customWidth="1"/>
    <col min="21" max="21" width="21" customWidth="1"/>
    <col min="22" max="22" width="21.1640625" customWidth="1"/>
    <col min="23" max="25" width="22.33203125" customWidth="1"/>
    <col min="26" max="26" width="21.1640625" customWidth="1"/>
    <col min="27" max="27" width="19.33203125" customWidth="1"/>
    <col min="28" max="28" width="16.33203125" customWidth="1"/>
    <col min="29" max="31" width="14.83203125" customWidth="1"/>
    <col min="32" max="32" width="15.5" customWidth="1"/>
    <col min="33" max="34" width="21.1640625" customWidth="1"/>
    <col min="35" max="35" width="20.83203125" customWidth="1"/>
    <col min="36" max="36" width="11.83203125" customWidth="1"/>
    <col min="37" max="38" width="15" customWidth="1"/>
    <col min="39" max="44" width="12.5" customWidth="1"/>
    <col min="45" max="51" width="12.33203125" customWidth="1"/>
    <col min="52" max="52" width="11.33203125" customWidth="1"/>
    <col min="53" max="53" width="11" customWidth="1"/>
    <col min="54" max="55" width="12.1640625" bestFit="1" customWidth="1"/>
    <col min="56" max="56" width="12.1640625" customWidth="1"/>
    <col min="57" max="57" width="11.83203125" customWidth="1"/>
    <col min="58" max="58" width="9.5" customWidth="1"/>
    <col min="59" max="59" width="12.83203125" customWidth="1"/>
    <col min="60" max="60" width="12.6640625" customWidth="1"/>
    <col min="61" max="61" width="12.33203125" bestFit="1" customWidth="1"/>
    <col min="62" max="62" width="14.6640625" bestFit="1" customWidth="1"/>
    <col min="63" max="63" width="14.5" customWidth="1"/>
    <col min="67" max="67" width="6.6640625" bestFit="1" customWidth="1"/>
    <col min="68" max="73" width="9.33203125" bestFit="1" customWidth="1"/>
    <col min="74" max="74" width="10.83203125" bestFit="1" customWidth="1"/>
    <col min="75" max="87" width="9.33203125" bestFit="1" customWidth="1"/>
    <col min="88" max="89" width="8.33203125" bestFit="1" customWidth="1"/>
  </cols>
  <sheetData>
    <row r="1" spans="1:62" ht="29">
      <c r="B1" s="183" t="s">
        <v>88</v>
      </c>
      <c r="E1" s="21"/>
      <c r="F1">
        <f>0.995^14</f>
        <v>0.93223011941540512</v>
      </c>
      <c r="T1" s="426" t="s">
        <v>285</v>
      </c>
      <c r="U1" s="427">
        <v>0.79</v>
      </c>
      <c r="V1" s="426" t="s">
        <v>116</v>
      </c>
      <c r="W1" s="430">
        <v>0.3</v>
      </c>
      <c r="X1" s="431" t="s">
        <v>142</v>
      </c>
      <c r="Y1" s="426" t="s">
        <v>248</v>
      </c>
      <c r="Z1" s="433">
        <f>U1*U2</f>
        <v>0.48980000000000001</v>
      </c>
    </row>
    <row r="2" spans="1:62" ht="16" thickBot="1">
      <c r="B2" t="s">
        <v>89</v>
      </c>
      <c r="T2" s="428" t="s">
        <v>115</v>
      </c>
      <c r="U2" s="429">
        <v>0.62</v>
      </c>
      <c r="V2" s="428" t="s">
        <v>117</v>
      </c>
      <c r="W2" s="432">
        <v>0.3</v>
      </c>
      <c r="X2" s="306" t="s">
        <v>142</v>
      </c>
      <c r="Y2" s="428" t="s">
        <v>286</v>
      </c>
      <c r="Z2" s="434">
        <f>U1*(1-U2)</f>
        <v>0.30020000000000002</v>
      </c>
      <c r="AA2" t="s">
        <v>192</v>
      </c>
      <c r="AB2">
        <v>350000</v>
      </c>
    </row>
    <row r="3" spans="1:62" ht="45" customHeight="1" thickBot="1">
      <c r="D3" s="3"/>
      <c r="E3" s="454" t="s">
        <v>52</v>
      </c>
      <c r="F3" s="454"/>
      <c r="H3" s="14"/>
      <c r="I3" s="455" t="s">
        <v>65</v>
      </c>
      <c r="J3" s="455"/>
      <c r="M3" s="455" t="s">
        <v>11</v>
      </c>
      <c r="N3" s="455"/>
      <c r="O3" s="197"/>
      <c r="P3" s="425">
        <v>9.5000000000000005E-6</v>
      </c>
      <c r="Q3" s="197">
        <f>J12*U1</f>
        <v>2633.07</v>
      </c>
      <c r="U3" s="29"/>
      <c r="V3" s="29"/>
      <c r="W3" s="29"/>
      <c r="X3" s="29"/>
      <c r="Y3" s="29"/>
      <c r="Z3" s="29"/>
      <c r="AA3" s="29" t="s">
        <v>151</v>
      </c>
      <c r="AB3" s="29">
        <v>127.5</v>
      </c>
      <c r="AC3" s="346"/>
    </row>
    <row r="4" spans="1:62" ht="71.5" customHeight="1" thickBot="1">
      <c r="B4" s="459" t="s">
        <v>66</v>
      </c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1"/>
      <c r="Z4" s="205"/>
      <c r="AA4" s="345" t="s">
        <v>344</v>
      </c>
      <c r="AB4" s="205"/>
      <c r="AC4" s="346" t="s">
        <v>344</v>
      </c>
      <c r="AD4" s="205" t="s">
        <v>194</v>
      </c>
      <c r="AE4">
        <v>5.276555805855199E-4</v>
      </c>
    </row>
    <row r="5" spans="1:62" ht="25" customHeight="1" thickBot="1">
      <c r="B5" s="462" t="s">
        <v>26</v>
      </c>
      <c r="C5" s="463"/>
      <c r="D5" s="463"/>
      <c r="E5" s="463"/>
      <c r="F5" s="463"/>
      <c r="G5" s="463"/>
      <c r="H5" s="464"/>
      <c r="I5" s="7"/>
      <c r="J5" s="456" t="s">
        <v>27</v>
      </c>
      <c r="K5" s="457"/>
      <c r="L5" s="457"/>
      <c r="M5" s="457"/>
      <c r="N5" s="457"/>
      <c r="O5" s="457"/>
      <c r="P5" s="457"/>
      <c r="Q5" s="458"/>
      <c r="R5" s="201"/>
      <c r="T5" s="260" t="s">
        <v>287</v>
      </c>
      <c r="U5" s="95"/>
      <c r="V5" s="95"/>
      <c r="W5" s="95"/>
      <c r="X5" s="95"/>
      <c r="Y5" s="95"/>
      <c r="Z5" s="95"/>
      <c r="AA5" s="95"/>
      <c r="AB5" s="95"/>
      <c r="AC5" s="7"/>
      <c r="AD5" s="12"/>
    </row>
    <row r="6" spans="1:62" ht="50" customHeight="1" thickBot="1">
      <c r="B6" s="451" t="s">
        <v>4</v>
      </c>
      <c r="C6" s="452"/>
      <c r="D6" s="452"/>
      <c r="E6" s="453"/>
      <c r="F6" s="160" t="s">
        <v>71</v>
      </c>
      <c r="G6" s="161" t="s">
        <v>72</v>
      </c>
      <c r="H6" s="130" t="s">
        <v>75</v>
      </c>
      <c r="I6" s="7"/>
      <c r="J6" s="79" t="s">
        <v>9</v>
      </c>
      <c r="K6" s="83" t="s">
        <v>10</v>
      </c>
      <c r="L6" s="83" t="s">
        <v>18</v>
      </c>
      <c r="M6" s="18" t="s">
        <v>6</v>
      </c>
      <c r="N6" s="83" t="s">
        <v>31</v>
      </c>
      <c r="O6" s="18" t="s">
        <v>12</v>
      </c>
      <c r="P6" s="138" t="s">
        <v>120</v>
      </c>
      <c r="Q6" s="139" t="s">
        <v>77</v>
      </c>
      <c r="R6" s="285" t="s">
        <v>93</v>
      </c>
      <c r="T6" s="478" t="s">
        <v>138</v>
      </c>
      <c r="U6" s="479"/>
      <c r="V6" s="479"/>
      <c r="W6" s="480"/>
      <c r="X6" s="511" t="s">
        <v>341</v>
      </c>
      <c r="Y6" s="511" t="s">
        <v>342</v>
      </c>
      <c r="Z6" s="216" t="s">
        <v>149</v>
      </c>
      <c r="AA6" s="217"/>
      <c r="AB6" s="481" t="s">
        <v>150</v>
      </c>
      <c r="AC6" s="482"/>
      <c r="AD6" s="482"/>
      <c r="AE6" s="483"/>
      <c r="AF6" s="481" t="s">
        <v>125</v>
      </c>
      <c r="AG6" s="483"/>
      <c r="AH6" s="435"/>
    </row>
    <row r="7" spans="1:62" ht="63.75" customHeight="1" thickBot="1">
      <c r="B7" s="56" t="s">
        <v>0</v>
      </c>
      <c r="C7" s="1">
        <v>0.85</v>
      </c>
      <c r="D7" s="8" t="s">
        <v>73</v>
      </c>
      <c r="E7" s="71" t="s">
        <v>33</v>
      </c>
      <c r="F7" s="74" t="s">
        <v>19</v>
      </c>
      <c r="G7" s="57" t="s">
        <v>25</v>
      </c>
      <c r="H7" s="64" t="s">
        <v>51</v>
      </c>
      <c r="I7" s="7"/>
      <c r="J7" s="79" t="s">
        <v>32</v>
      </c>
      <c r="K7" s="83" t="s">
        <v>34</v>
      </c>
      <c r="L7" s="87" t="s">
        <v>7</v>
      </c>
      <c r="M7" s="19" t="s">
        <v>20</v>
      </c>
      <c r="N7" s="87" t="s">
        <v>76</v>
      </c>
      <c r="O7" s="19" t="s">
        <v>16</v>
      </c>
      <c r="P7" s="208" t="s">
        <v>344</v>
      </c>
      <c r="Q7" s="125">
        <v>1.055311E-3</v>
      </c>
      <c r="R7" s="290" t="s">
        <v>135</v>
      </c>
      <c r="T7" s="211" t="s">
        <v>113</v>
      </c>
      <c r="U7" s="207" t="s">
        <v>114</v>
      </c>
      <c r="V7" s="220" t="s">
        <v>118</v>
      </c>
      <c r="W7" s="221" t="s">
        <v>119</v>
      </c>
      <c r="X7" s="503" t="s">
        <v>343</v>
      </c>
      <c r="Y7" s="503" t="s">
        <v>343</v>
      </c>
      <c r="Z7" s="266" t="s">
        <v>121</v>
      </c>
      <c r="AA7" s="221" t="s">
        <v>122</v>
      </c>
      <c r="AB7" s="218" t="s">
        <v>193</v>
      </c>
      <c r="AC7" s="12" t="s">
        <v>290</v>
      </c>
      <c r="AD7" s="299" t="s">
        <v>121</v>
      </c>
      <c r="AE7" s="234" t="s">
        <v>122</v>
      </c>
      <c r="AF7" s="218" t="s">
        <v>123</v>
      </c>
      <c r="AG7" s="269" t="s">
        <v>124</v>
      </c>
      <c r="AH7" s="241"/>
      <c r="AI7" s="204"/>
      <c r="AJ7" s="205"/>
      <c r="AK7" s="205"/>
      <c r="AL7" s="205">
        <v>1000</v>
      </c>
      <c r="AM7" s="205"/>
    </row>
    <row r="8" spans="1:62" ht="39.75" customHeight="1" thickBot="1">
      <c r="A8" s="147" t="s">
        <v>1</v>
      </c>
      <c r="B8" s="22" t="s">
        <v>2</v>
      </c>
      <c r="C8" s="8" t="s">
        <v>74</v>
      </c>
      <c r="D8" s="8" t="s">
        <v>5</v>
      </c>
      <c r="E8" s="25" t="s">
        <v>3</v>
      </c>
      <c r="F8" s="75" t="s">
        <v>3</v>
      </c>
      <c r="G8" s="65" t="s">
        <v>3</v>
      </c>
      <c r="H8" s="128" t="s">
        <v>3</v>
      </c>
      <c r="I8" s="148" t="s">
        <v>1</v>
      </c>
      <c r="J8" s="80" t="s">
        <v>8</v>
      </c>
      <c r="K8" s="75" t="s">
        <v>8</v>
      </c>
      <c r="L8" s="75" t="s">
        <v>8</v>
      </c>
      <c r="M8" s="6" t="s">
        <v>5</v>
      </c>
      <c r="N8" s="75" t="s">
        <v>5</v>
      </c>
      <c r="O8" s="6" t="s">
        <v>5</v>
      </c>
      <c r="P8" s="24" t="s">
        <v>3</v>
      </c>
      <c r="Q8" s="65" t="s">
        <v>3</v>
      </c>
      <c r="R8" s="287"/>
      <c r="T8" s="212"/>
      <c r="U8" s="13"/>
      <c r="V8" s="222"/>
      <c r="W8" s="223"/>
      <c r="X8" s="206"/>
      <c r="Y8" s="206"/>
      <c r="Z8" s="222"/>
      <c r="AA8" s="223"/>
      <c r="AB8" s="212"/>
      <c r="AC8" s="13"/>
      <c r="AD8" s="222"/>
      <c r="AE8" s="223"/>
      <c r="AF8" s="274"/>
      <c r="AG8" s="270"/>
      <c r="AH8" s="206"/>
      <c r="AI8" s="204"/>
      <c r="AJ8" s="493" t="s">
        <v>91</v>
      </c>
      <c r="AK8" s="494"/>
      <c r="AM8" s="300" t="s">
        <v>147</v>
      </c>
      <c r="AN8" s="301"/>
      <c r="AO8" s="301"/>
      <c r="AP8" s="301"/>
      <c r="AQ8" s="318"/>
      <c r="AR8" s="448" t="s">
        <v>148</v>
      </c>
      <c r="AS8" s="449"/>
      <c r="AT8" s="449"/>
      <c r="AU8" s="449"/>
      <c r="AV8" s="449"/>
      <c r="AW8" s="449"/>
      <c r="AX8" s="450"/>
      <c r="AY8" s="448" t="s">
        <v>156</v>
      </c>
      <c r="AZ8" s="449"/>
      <c r="BA8" s="449"/>
      <c r="BB8" s="449"/>
      <c r="BC8" s="449"/>
      <c r="BD8" s="449"/>
      <c r="BE8" s="450"/>
      <c r="BF8" s="448" t="s">
        <v>167</v>
      </c>
      <c r="BG8" s="449"/>
      <c r="BH8" s="449"/>
      <c r="BI8" s="449"/>
      <c r="BJ8" s="450"/>
    </row>
    <row r="9" spans="1:62" ht="65" thickBot="1">
      <c r="A9" s="43"/>
      <c r="B9" s="4"/>
      <c r="C9" s="7"/>
      <c r="D9" s="7"/>
      <c r="E9" s="27"/>
      <c r="F9" s="76"/>
      <c r="G9" s="16"/>
      <c r="H9" s="129"/>
      <c r="I9" s="6"/>
      <c r="J9" s="81"/>
      <c r="K9" s="84"/>
      <c r="L9" s="84"/>
      <c r="M9" s="7"/>
      <c r="N9" s="84"/>
      <c r="O9" s="7"/>
      <c r="P9" s="23"/>
      <c r="Q9" s="16"/>
      <c r="R9" s="286"/>
      <c r="T9" s="99"/>
      <c r="U9" s="32"/>
      <c r="V9" s="224"/>
      <c r="W9" s="225"/>
      <c r="X9" s="504"/>
      <c r="Y9" s="504"/>
      <c r="Z9" s="224"/>
      <c r="AA9" s="225"/>
      <c r="AB9" s="99"/>
      <c r="AC9" s="438"/>
      <c r="AD9" s="224"/>
      <c r="AE9" s="225"/>
      <c r="AF9" s="275"/>
      <c r="AG9" s="271"/>
      <c r="AH9" s="516" t="s">
        <v>288</v>
      </c>
      <c r="AI9" s="282" t="s">
        <v>90</v>
      </c>
      <c r="AJ9" s="283" t="s">
        <v>92</v>
      </c>
      <c r="AK9" s="294" t="s">
        <v>346</v>
      </c>
      <c r="AL9" s="297" t="s">
        <v>1</v>
      </c>
      <c r="AM9" s="292" t="s">
        <v>143</v>
      </c>
      <c r="AN9" s="293" t="s">
        <v>144</v>
      </c>
      <c r="AO9" s="293" t="s">
        <v>145</v>
      </c>
      <c r="AP9" s="293" t="s">
        <v>169</v>
      </c>
      <c r="AQ9" s="310" t="s">
        <v>146</v>
      </c>
      <c r="AR9" s="302" t="s">
        <v>153</v>
      </c>
      <c r="AS9" s="303" t="s">
        <v>152</v>
      </c>
      <c r="AT9" s="303" t="s">
        <v>154</v>
      </c>
      <c r="AU9" s="303" t="s">
        <v>155</v>
      </c>
      <c r="AV9" s="303" t="s">
        <v>178</v>
      </c>
      <c r="AW9" s="303"/>
      <c r="AX9" s="313" t="s">
        <v>181</v>
      </c>
      <c r="AY9" s="12" t="s">
        <v>184</v>
      </c>
      <c r="AZ9" s="12" t="s">
        <v>157</v>
      </c>
      <c r="BA9" s="12" t="s">
        <v>158</v>
      </c>
      <c r="BB9" s="12" t="s">
        <v>160</v>
      </c>
      <c r="BC9" s="12" t="s">
        <v>23</v>
      </c>
      <c r="BD9" s="12" t="s">
        <v>183</v>
      </c>
      <c r="BE9" s="313" t="s">
        <v>161</v>
      </c>
      <c r="BF9" s="302" t="s">
        <v>165</v>
      </c>
      <c r="BG9" s="303" t="s">
        <v>162</v>
      </c>
      <c r="BH9" s="303" t="s">
        <v>164</v>
      </c>
      <c r="BI9" s="324" t="s">
        <v>168</v>
      </c>
      <c r="BJ9" s="325" t="s">
        <v>166</v>
      </c>
    </row>
    <row r="10" spans="1:62" ht="16">
      <c r="A10" s="43">
        <v>2019</v>
      </c>
      <c r="B10" s="4">
        <v>268</v>
      </c>
      <c r="C10" s="58">
        <v>217.29</v>
      </c>
      <c r="D10" s="26">
        <v>2747676</v>
      </c>
      <c r="E10" s="72">
        <f t="shared" ref="E10:E31" si="0">C10*D10</f>
        <v>597042518.03999996</v>
      </c>
      <c r="F10" s="76">
        <v>0</v>
      </c>
      <c r="G10" s="73">
        <v>79254419</v>
      </c>
      <c r="H10" s="50">
        <f t="shared" ref="H10:H31" si="1">F10+G10+E10</f>
        <v>676296937.03999996</v>
      </c>
      <c r="I10" s="6">
        <v>2019</v>
      </c>
      <c r="J10" s="82">
        <v>2883</v>
      </c>
      <c r="K10" s="76"/>
      <c r="L10" s="85">
        <f t="shared" ref="L10:L31" si="2">J10+K10</f>
        <v>2883</v>
      </c>
      <c r="M10" s="11">
        <f t="shared" ref="M10:M31" si="3">L10*1154</f>
        <v>3326982</v>
      </c>
      <c r="N10" s="88">
        <v>10408717</v>
      </c>
      <c r="O10" s="11">
        <v>74462963</v>
      </c>
      <c r="P10" s="209">
        <f>O10*Y10</f>
        <v>10800778.32018728</v>
      </c>
      <c r="Q10" s="90">
        <f>$Q$7*($L10*0.42)*$O10</f>
        <v>95151296.737450495</v>
      </c>
      <c r="R10" s="288">
        <f>V10+W10+Z10+AA10+AD10+AE10+AG10</f>
        <v>189654823.46906734</v>
      </c>
      <c r="S10" s="197"/>
      <c r="T10" s="214">
        <f>M10*$U$1*$U$2</f>
        <v>1629555.7836000002</v>
      </c>
      <c r="U10" s="9">
        <f>M10*$U$1*(1-$U$2)</f>
        <v>998759.99640000006</v>
      </c>
      <c r="V10" s="226">
        <f>1000*Z38*T10*$W$2</f>
        <v>65717986.781573549</v>
      </c>
      <c r="W10" s="227">
        <f>1000*Z38*U10*$W$1</f>
        <v>40278766.09193217</v>
      </c>
      <c r="X10" s="512">
        <v>6.4851724999996918E-2</v>
      </c>
      <c r="Y10" s="512">
        <v>0.14504900000000376</v>
      </c>
      <c r="Z10" s="267">
        <f>X10*($AB$2/AB10)*O10</f>
        <v>251074.65752979449</v>
      </c>
      <c r="AA10" s="230">
        <f>$AB$3*$Q$7*O10</f>
        <v>10019151.953177856</v>
      </c>
      <c r="AB10" s="342">
        <f>N10-M10-L38-O68*1154-$AB$2</f>
        <v>6731735</v>
      </c>
      <c r="AC10" s="341">
        <f>AB10/(8766*0.3)</f>
        <v>2559.7897178492663</v>
      </c>
      <c r="AD10" s="267">
        <f>X10*O10</f>
        <v>4829051.599160946</v>
      </c>
      <c r="AE10" s="230">
        <f>AC10/2*$AE$4*O10</f>
        <v>50288090.329819359</v>
      </c>
      <c r="AF10" s="219">
        <f>AF11</f>
        <v>0.24536630453281391</v>
      </c>
      <c r="AG10" s="272">
        <f t="shared" ref="AG10:AG31" si="4">AF10*O10</f>
        <v>18270702.055873655</v>
      </c>
      <c r="AH10" s="277" t="s">
        <v>289</v>
      </c>
      <c r="AI10" s="277">
        <v>4.2999999999999997E-2</v>
      </c>
      <c r="AJ10" s="284">
        <v>0</v>
      </c>
      <c r="AK10" s="295">
        <v>0</v>
      </c>
      <c r="AL10" s="287">
        <v>2019</v>
      </c>
      <c r="AM10" s="5">
        <f t="shared" ref="AM10:AM31" si="5">(G10)/1000</f>
        <v>79254.418999999994</v>
      </c>
      <c r="AN10" s="10">
        <f t="shared" ref="AN10:AN31" si="6">(E10)/1000</f>
        <v>597042.51804</v>
      </c>
      <c r="AO10" s="10">
        <f t="shared" ref="AO10:AO31" si="7">(F10)/1000</f>
        <v>0</v>
      </c>
      <c r="AP10" s="10"/>
      <c r="AQ10" s="311">
        <f>SUM(AM10:AP10)</f>
        <v>676296.93703999999</v>
      </c>
      <c r="AR10" s="308">
        <f>(P10+Q10+Q68+R68)/1000</f>
        <v>105952.07505763778</v>
      </c>
      <c r="AS10" s="309">
        <f>(Z10+AA10)/1000</f>
        <v>10270.22661070765</v>
      </c>
      <c r="AT10" s="309">
        <f>(AD10+AE10)/1000</f>
        <v>55117.141928980309</v>
      </c>
      <c r="AU10" s="309">
        <f t="shared" ref="AU10:AU31" si="8">(AG10)/1000</f>
        <v>18270.702055873655</v>
      </c>
      <c r="AV10" s="309">
        <f t="shared" ref="AV10:AV31" si="9">(V10+W10+V95)/1000</f>
        <v>105996.75287350571</v>
      </c>
      <c r="AW10" s="309"/>
      <c r="AX10" s="314">
        <f>SUM(AR10:AW10)</f>
        <v>295606.8985267051</v>
      </c>
      <c r="AY10" s="304">
        <f t="shared" ref="AY10:AY31" si="10">(C38)/1000</f>
        <v>10010000</v>
      </c>
      <c r="AZ10" s="305">
        <f t="shared" ref="AZ10:AZ31" si="11">(AG38)/1000</f>
        <v>153341.96915700496</v>
      </c>
      <c r="BA10" s="305">
        <f t="shared" ref="BA10:BA31" si="12">(J38)/1000</f>
        <v>187000</v>
      </c>
      <c r="BB10" s="305">
        <f t="shared" ref="BB10:BB31" si="13">(AB38)/1000</f>
        <v>134593.16399999999</v>
      </c>
      <c r="BC10" s="305">
        <f t="shared" ref="BC10:BC31" si="14">(M38)/1000</f>
        <v>0</v>
      </c>
      <c r="BD10" s="305">
        <f>P68/1000</f>
        <v>0</v>
      </c>
      <c r="BE10" s="314">
        <f>SUM(AY10:BD10)</f>
        <v>10484935.133157006</v>
      </c>
      <c r="BF10" s="319">
        <f>O38</f>
        <v>0.09</v>
      </c>
      <c r="BG10" s="17">
        <f>BF10*BE10</f>
        <v>943644.16198413051</v>
      </c>
      <c r="BH10" s="17">
        <f>AQ10-AX10</f>
        <v>380690.03851329489</v>
      </c>
      <c r="BI10" s="320">
        <f>BG10-BH10</f>
        <v>562954.12347083562</v>
      </c>
      <c r="BJ10" s="321">
        <f>BI10</f>
        <v>562954.12347083562</v>
      </c>
    </row>
    <row r="11" spans="1:62" ht="16">
      <c r="A11" s="43">
        <v>2020</v>
      </c>
      <c r="B11" s="4">
        <v>258</v>
      </c>
      <c r="C11" s="58">
        <v>218.61</v>
      </c>
      <c r="D11" s="26">
        <v>3287339</v>
      </c>
      <c r="E11" s="72">
        <f t="shared" si="0"/>
        <v>718645178.79000008</v>
      </c>
      <c r="F11" s="76">
        <v>350518</v>
      </c>
      <c r="G11" s="73">
        <v>89997891</v>
      </c>
      <c r="H11" s="50">
        <f t="shared" si="1"/>
        <v>808993587.79000008</v>
      </c>
      <c r="I11" s="6">
        <v>2020</v>
      </c>
      <c r="J11" s="82">
        <v>3317</v>
      </c>
      <c r="K11" s="85">
        <v>21</v>
      </c>
      <c r="L11" s="85">
        <f t="shared" si="2"/>
        <v>3338</v>
      </c>
      <c r="M11" s="11">
        <f t="shared" si="3"/>
        <v>3852052</v>
      </c>
      <c r="N11" s="88">
        <v>10078927</v>
      </c>
      <c r="O11" s="11">
        <v>71695423</v>
      </c>
      <c r="P11" s="209">
        <f t="shared" ref="P11:P21" si="15">O11*Y11</f>
        <v>19858752.10968278</v>
      </c>
      <c r="Q11" s="90">
        <f t="shared" ref="Q11:Q31" si="16">$Q$7*($L11*0.42)*$O11</f>
        <v>106073651.45651564</v>
      </c>
      <c r="R11" s="288">
        <f t="shared" ref="R11:R30" si="17">V11+W11+Z11+AA11+AD11+AE11+AG11</f>
        <v>206595337.95636198</v>
      </c>
      <c r="T11" s="214">
        <f>M11*$U$1*$U$2</f>
        <v>1886735.0696</v>
      </c>
      <c r="U11" s="9">
        <f>M11*$U$1*(1-$U$2)</f>
        <v>1156386.0104</v>
      </c>
      <c r="V11" s="226">
        <f>1000*Z39*T11*$W$2</f>
        <v>77661078.363350481</v>
      </c>
      <c r="W11" s="227">
        <f>1000*Z39*U11*$W$1</f>
        <v>47598725.448505126</v>
      </c>
      <c r="X11" s="512">
        <v>0.1556867000000004</v>
      </c>
      <c r="Y11" s="512">
        <v>0.27698772500000146</v>
      </c>
      <c r="Z11" s="267">
        <f>X11*($AB$2/AB11)*O11</f>
        <v>664759.47407269082</v>
      </c>
      <c r="AA11" s="230">
        <f>$AB$3*$Q$7*O11</f>
        <v>9646773.4890480079</v>
      </c>
      <c r="AB11" s="342">
        <f>N11-M11-L39-O69*1154-$AB$2</f>
        <v>5876875</v>
      </c>
      <c r="AC11" s="17">
        <f t="shared" ref="AC11:AC31" si="18">AB11/(8766*0.3)</f>
        <v>2234.7231728648567</v>
      </c>
      <c r="AD11" s="267">
        <f t="shared" ref="AD11:AD21" si="19">X11*O11</f>
        <v>11162023.811974129</v>
      </c>
      <c r="AE11" s="230">
        <f t="shared" ref="AE11:AE22" si="20">AC11/2*$AE$4*O11</f>
        <v>42270336.375984617</v>
      </c>
      <c r="AF11" s="276">
        <v>0.24536630453281391</v>
      </c>
      <c r="AG11" s="272">
        <f t="shared" si="4"/>
        <v>17591640.993426912</v>
      </c>
      <c r="AH11" s="278">
        <v>0.16028999999999999</v>
      </c>
      <c r="AI11" s="278">
        <v>4.9000000000000002E-2</v>
      </c>
      <c r="AJ11" s="214">
        <v>0</v>
      </c>
      <c r="AK11" s="9">
        <v>0</v>
      </c>
      <c r="AL11" s="287">
        <v>2020</v>
      </c>
      <c r="AM11" s="5">
        <f t="shared" si="5"/>
        <v>89997.891000000003</v>
      </c>
      <c r="AN11" s="10">
        <f t="shared" si="6"/>
        <v>718645.17879000003</v>
      </c>
      <c r="AO11" s="10">
        <f t="shared" si="7"/>
        <v>350.51799999999997</v>
      </c>
      <c r="AP11" s="10"/>
      <c r="AQ11" s="311">
        <f t="shared" ref="AQ11:AQ30" si="21">SUM(AM11:AP11)</f>
        <v>808993.58779000014</v>
      </c>
      <c r="AR11" s="5">
        <f>(P11+Q11+Q69+R69)/1000</f>
        <v>125932.40356619842</v>
      </c>
      <c r="AS11" s="10">
        <f t="shared" ref="AS11:AS31" si="22">(Z11+AA11)/1000</f>
        <v>10311.532963120699</v>
      </c>
      <c r="AT11" s="10">
        <f t="shared" ref="AT11:AT31" si="23">(AD11+AE11)/1000</f>
        <v>53432.360187958744</v>
      </c>
      <c r="AU11" s="10">
        <f t="shared" si="8"/>
        <v>17591.64099342691</v>
      </c>
      <c r="AV11" s="10">
        <f t="shared" si="9"/>
        <v>125259.80381185561</v>
      </c>
      <c r="AW11" s="10"/>
      <c r="AX11" s="314">
        <f t="shared" ref="AX11:AX31" si="24">SUM(AR11:AW11)</f>
        <v>332527.74152256036</v>
      </c>
      <c r="AY11" s="316">
        <f t="shared" si="10"/>
        <v>9837000</v>
      </c>
      <c r="AZ11" s="17">
        <f t="shared" si="11"/>
        <v>181209.18284781775</v>
      </c>
      <c r="BA11" s="17">
        <f t="shared" si="12"/>
        <v>206500</v>
      </c>
      <c r="BB11" s="17">
        <f t="shared" si="13"/>
        <v>137285.02728000001</v>
      </c>
      <c r="BC11" s="17">
        <f t="shared" si="14"/>
        <v>0</v>
      </c>
      <c r="BD11" s="17">
        <f>P69/1000</f>
        <v>0</v>
      </c>
      <c r="BE11" s="314">
        <f t="shared" ref="BE11:BE31" si="25">SUM(AY11:BD11)</f>
        <v>10361994.210127817</v>
      </c>
      <c r="BF11" s="319">
        <f t="shared" ref="BF11:BF31" si="26">O39</f>
        <v>0.09</v>
      </c>
      <c r="BG11" s="17">
        <f>BF11*BE11</f>
        <v>932579.47891150357</v>
      </c>
      <c r="BH11" s="17">
        <f>AQ11-AX11</f>
        <v>476465.84626743977</v>
      </c>
      <c r="BI11" s="320">
        <f>BG11-BH11</f>
        <v>456113.63264406379</v>
      </c>
      <c r="BJ11" s="321">
        <f>BI11+BJ10</f>
        <v>1019067.7561148994</v>
      </c>
    </row>
    <row r="12" spans="1:62" ht="16">
      <c r="A12" s="43">
        <v>2021</v>
      </c>
      <c r="B12" s="4">
        <v>248</v>
      </c>
      <c r="C12" s="59">
        <f t="shared" ref="C12:C25" si="27">B12*$C$7</f>
        <v>210.79999999999998</v>
      </c>
      <c r="D12" s="184">
        <f t="shared" ref="D12:D25" si="28">O12*AI12</f>
        <v>3674748.9058649996</v>
      </c>
      <c r="E12" s="72">
        <f t="shared" si="0"/>
        <v>774637069.35634184</v>
      </c>
      <c r="F12" s="76">
        <v>18666286</v>
      </c>
      <c r="G12" s="437">
        <v>121089600</v>
      </c>
      <c r="H12" s="50">
        <f t="shared" si="1"/>
        <v>914392955.35634184</v>
      </c>
      <c r="I12" s="6">
        <v>2021</v>
      </c>
      <c r="J12" s="82">
        <v>3333</v>
      </c>
      <c r="K12" s="186">
        <f t="shared" ref="K12:K31" si="29">K11*0.995+AK12</f>
        <v>268.89499999999998</v>
      </c>
      <c r="L12" s="85">
        <f t="shared" si="2"/>
        <v>3601.895</v>
      </c>
      <c r="M12" s="11">
        <f t="shared" si="3"/>
        <v>4156586.83</v>
      </c>
      <c r="N12" s="88">
        <f>O12*AH12</f>
        <v>15131319.024149999</v>
      </c>
      <c r="O12" s="11">
        <f t="shared" ref="O12:O31" si="30">O11+(O11*$C$37)</f>
        <v>72053900.114999995</v>
      </c>
      <c r="P12" s="209">
        <f t="shared" si="15"/>
        <v>18540039.52674811</v>
      </c>
      <c r="Q12" s="90">
        <f t="shared" si="16"/>
        <v>115031901.01468879</v>
      </c>
      <c r="R12" s="288">
        <f t="shared" si="17"/>
        <v>253957107.92956981</v>
      </c>
      <c r="T12" s="214">
        <f>M12*$U$1*$U$2</f>
        <v>2035896.2293340003</v>
      </c>
      <c r="U12" s="9">
        <f>M12*$U$1*(1-$U$2)</f>
        <v>1247807.3663660001</v>
      </c>
      <c r="V12" s="226">
        <f>1000*Z40*T12*$W$2</f>
        <v>84388058.369052559</v>
      </c>
      <c r="W12" s="227">
        <f>1000*Z40*U12*$W$1</f>
        <v>51721713.193935439</v>
      </c>
      <c r="X12" s="512">
        <v>0.137131274999998</v>
      </c>
      <c r="Y12" s="512">
        <v>0.25730792500000277</v>
      </c>
      <c r="Z12" s="267">
        <f>X12*($AB$2/AB12)*O12</f>
        <v>325494.80342916347</v>
      </c>
      <c r="AA12" s="230">
        <f>$AB$3*$Q$7*O12</f>
        <v>9695007.3564932458</v>
      </c>
      <c r="AB12" s="342">
        <f>N12-M12-L40-O70*1154-$AB$2</f>
        <v>10624732.194149999</v>
      </c>
      <c r="AC12" s="17">
        <f t="shared" si="18"/>
        <v>4040.1293612251884</v>
      </c>
      <c r="AD12" s="267">
        <f t="shared" si="19"/>
        <v>9880843.1914924514</v>
      </c>
      <c r="AE12" s="230">
        <f t="shared" si="20"/>
        <v>76802136.981002823</v>
      </c>
      <c r="AF12" s="276">
        <v>0.2934449627350913</v>
      </c>
      <c r="AG12" s="272">
        <f t="shared" si="4"/>
        <v>21143854.034164164</v>
      </c>
      <c r="AH12" s="278">
        <v>0.21</v>
      </c>
      <c r="AI12" s="278">
        <v>5.0999999999999997E-2</v>
      </c>
      <c r="AJ12" s="232">
        <v>248</v>
      </c>
      <c r="AK12" s="296">
        <v>248</v>
      </c>
      <c r="AL12" s="287">
        <v>2021</v>
      </c>
      <c r="AM12" s="5">
        <f t="shared" si="5"/>
        <v>121089.60000000001</v>
      </c>
      <c r="AN12" s="10">
        <f t="shared" si="6"/>
        <v>774637.06935634185</v>
      </c>
      <c r="AO12" s="10">
        <f t="shared" si="7"/>
        <v>18666.286</v>
      </c>
      <c r="AP12" s="10"/>
      <c r="AQ12" s="311">
        <f t="shared" si="21"/>
        <v>914392.95535634179</v>
      </c>
      <c r="AR12" s="5">
        <f t="shared" ref="AR11:AR31" si="31">(P12+Q12+Q70+R70)/1000</f>
        <v>133571.9405414369</v>
      </c>
      <c r="AS12" s="10">
        <f t="shared" si="22"/>
        <v>10020.502159922409</v>
      </c>
      <c r="AT12" s="10">
        <f t="shared" si="23"/>
        <v>86682.98017249527</v>
      </c>
      <c r="AU12" s="10">
        <f t="shared" si="8"/>
        <v>21143.854034164164</v>
      </c>
      <c r="AV12" s="10">
        <f t="shared" si="9"/>
        <v>136109.771562988</v>
      </c>
      <c r="AW12" s="10"/>
      <c r="AX12" s="314">
        <f t="shared" si="24"/>
        <v>387529.04847100674</v>
      </c>
      <c r="AY12" s="316">
        <f t="shared" si="10"/>
        <v>9955466.0350765251</v>
      </c>
      <c r="AZ12" s="17">
        <f t="shared" si="11"/>
        <v>196905.4695277893</v>
      </c>
      <c r="BA12" s="17">
        <f t="shared" si="12"/>
        <v>196750</v>
      </c>
      <c r="BB12" s="17">
        <f t="shared" si="13"/>
        <v>140030.72782559998</v>
      </c>
      <c r="BC12" s="17">
        <f t="shared" si="14"/>
        <v>0</v>
      </c>
      <c r="BD12" s="17">
        <f>P70/1000</f>
        <v>0</v>
      </c>
      <c r="BE12" s="314">
        <f t="shared" si="25"/>
        <v>10489152.232429914</v>
      </c>
      <c r="BF12" s="319">
        <f t="shared" si="26"/>
        <v>0.09</v>
      </c>
      <c r="BG12" s="17">
        <f t="shared" ref="BG12:BG31" si="32">BF12*BE12</f>
        <v>944023.70091869228</v>
      </c>
      <c r="BH12" s="17">
        <f t="shared" ref="BH12:BH30" si="33">AQ12-AX12</f>
        <v>526863.90688533499</v>
      </c>
      <c r="BI12" s="320">
        <f t="shared" ref="BI12:BI31" si="34">BG12-BH12</f>
        <v>417159.79403335729</v>
      </c>
      <c r="BJ12" s="321">
        <f t="shared" ref="BJ12:BK31" si="35">BI12+BJ11</f>
        <v>1436227.5501482566</v>
      </c>
    </row>
    <row r="13" spans="1:62" ht="16">
      <c r="A13" s="43">
        <v>2022</v>
      </c>
      <c r="B13" s="4">
        <v>238</v>
      </c>
      <c r="C13" s="59">
        <f t="shared" si="27"/>
        <v>202.29999999999998</v>
      </c>
      <c r="D13" s="184">
        <f t="shared" si="28"/>
        <v>3693122.6503943247</v>
      </c>
      <c r="E13" s="72">
        <f t="shared" si="0"/>
        <v>747118712.17477179</v>
      </c>
      <c r="F13" s="76">
        <v>65697307</v>
      </c>
      <c r="G13" s="437">
        <v>117499242</v>
      </c>
      <c r="H13" s="50">
        <f t="shared" si="1"/>
        <v>930315261.17477179</v>
      </c>
      <c r="I13" s="6">
        <v>2022</v>
      </c>
      <c r="J13" s="188">
        <f>J12*0.995</f>
        <v>3316.335</v>
      </c>
      <c r="K13" s="189">
        <f t="shared" si="29"/>
        <v>607.55052499999999</v>
      </c>
      <c r="L13" s="85">
        <f t="shared" si="2"/>
        <v>3923.8855250000001</v>
      </c>
      <c r="M13" s="17">
        <f t="shared" si="3"/>
        <v>4528163.89585</v>
      </c>
      <c r="N13" s="88">
        <f t="shared" ref="N13:N31" si="36">O13*AH13</f>
        <v>15206975.619270749</v>
      </c>
      <c r="O13" s="11">
        <f t="shared" si="30"/>
        <v>72414169.615575001</v>
      </c>
      <c r="P13" s="209">
        <f t="shared" si="15"/>
        <v>28822438.049793378</v>
      </c>
      <c r="Q13" s="90">
        <f t="shared" si="16"/>
        <v>125941725.49763225</v>
      </c>
      <c r="R13" s="288">
        <f t="shared" si="17"/>
        <v>267901853.94317964</v>
      </c>
      <c r="T13" s="214">
        <f>M13*$U$1*$U$2</f>
        <v>2217894.6761873299</v>
      </c>
      <c r="U13" s="9">
        <f>M13*$U$1*(1-$U$2)</f>
        <v>1359354.8015341701</v>
      </c>
      <c r="V13" s="226">
        <f>1000*Z41*T13*$W$2</f>
        <v>94547925.205870211</v>
      </c>
      <c r="W13" s="227">
        <f>1000*Z41*U13*$W$1</f>
        <v>57948728.351984978</v>
      </c>
      <c r="X13" s="512">
        <v>0.18339377499999898</v>
      </c>
      <c r="Y13" s="512">
        <v>0.39802207500000364</v>
      </c>
      <c r="Z13" s="267">
        <f>X13*($AB$2/AB13)*O13</f>
        <v>479477.42999721807</v>
      </c>
      <c r="AA13" s="230">
        <f>$AB$3*$Q$7*O13</f>
        <v>9743482.3932757135</v>
      </c>
      <c r="AB13" s="5">
        <f>N13-M13-L41-O71*1154-$AB$2</f>
        <v>9694111.7234207503</v>
      </c>
      <c r="AC13" s="17">
        <f t="shared" si="18"/>
        <v>3686.2543628491717</v>
      </c>
      <c r="AD13" s="267">
        <f t="shared" si="19"/>
        <v>13280307.929290524</v>
      </c>
      <c r="AE13" s="230">
        <f t="shared" si="20"/>
        <v>70425411.699859232</v>
      </c>
      <c r="AF13" s="276">
        <v>0.29657898512009662</v>
      </c>
      <c r="AG13" s="272">
        <f t="shared" si="4"/>
        <v>21476520.93290177</v>
      </c>
      <c r="AH13" s="278">
        <v>0.21</v>
      </c>
      <c r="AI13" s="278">
        <v>5.0999999999999997E-2</v>
      </c>
      <c r="AJ13" s="232">
        <v>340</v>
      </c>
      <c r="AK13" s="9">
        <v>340</v>
      </c>
      <c r="AL13" s="287">
        <v>2022</v>
      </c>
      <c r="AM13" s="5">
        <f t="shared" si="5"/>
        <v>117499.242</v>
      </c>
      <c r="AN13" s="10">
        <f t="shared" si="6"/>
        <v>747118.71217477182</v>
      </c>
      <c r="AO13" s="10">
        <f t="shared" si="7"/>
        <v>65697.307000000001</v>
      </c>
      <c r="AP13" s="10">
        <f>P71/1000</f>
        <v>0</v>
      </c>
      <c r="AQ13" s="311">
        <f t="shared" si="21"/>
        <v>930315.26117477182</v>
      </c>
      <c r="AR13" s="5">
        <f t="shared" si="31"/>
        <v>154764.16354742562</v>
      </c>
      <c r="AS13" s="10">
        <f t="shared" si="22"/>
        <v>10222.959823272933</v>
      </c>
      <c r="AT13" s="10">
        <f t="shared" si="23"/>
        <v>83705.719629149753</v>
      </c>
      <c r="AU13" s="10">
        <f t="shared" si="8"/>
        <v>21476.520932901771</v>
      </c>
      <c r="AV13" s="10">
        <f t="shared" si="9"/>
        <v>179553.64989427509</v>
      </c>
      <c r="AW13" s="10"/>
      <c r="AX13" s="314">
        <f t="shared" si="24"/>
        <v>449723.01382702519</v>
      </c>
      <c r="AY13" s="316">
        <f t="shared" si="10"/>
        <v>10289952.849080948</v>
      </c>
      <c r="AZ13" s="17">
        <f t="shared" si="11"/>
        <v>220611.82548036383</v>
      </c>
      <c r="BA13" s="17">
        <f t="shared" si="12"/>
        <v>208000</v>
      </c>
      <c r="BB13" s="17">
        <f t="shared" si="13"/>
        <v>142831.34238211196</v>
      </c>
      <c r="BC13" s="17">
        <f t="shared" si="14"/>
        <v>0</v>
      </c>
      <c r="BD13" s="17">
        <f>P71/1000</f>
        <v>0</v>
      </c>
      <c r="BE13" s="314">
        <f t="shared" si="25"/>
        <v>10861396.016943425</v>
      </c>
      <c r="BF13" s="319">
        <f t="shared" si="26"/>
        <v>7.0000000000000007E-2</v>
      </c>
      <c r="BG13" s="17">
        <f t="shared" si="32"/>
        <v>760297.72118603985</v>
      </c>
      <c r="BH13" s="17">
        <f t="shared" si="33"/>
        <v>480592.24734774663</v>
      </c>
      <c r="BI13" s="320">
        <f t="shared" si="34"/>
        <v>279705.47383829323</v>
      </c>
      <c r="BJ13" s="321">
        <f t="shared" si="35"/>
        <v>1715933.0239865498</v>
      </c>
    </row>
    <row r="14" spans="1:62" ht="16">
      <c r="A14" s="43">
        <v>2023</v>
      </c>
      <c r="B14" s="4">
        <v>228</v>
      </c>
      <c r="C14" s="59">
        <f t="shared" si="27"/>
        <v>193.79999999999998</v>
      </c>
      <c r="D14" s="184">
        <f t="shared" si="28"/>
        <v>3711588.2636462967</v>
      </c>
      <c r="E14" s="72">
        <f t="shared" si="0"/>
        <v>719305805.49465227</v>
      </c>
      <c r="F14" s="76">
        <v>110784889</v>
      </c>
      <c r="G14" s="437">
        <v>137534564</v>
      </c>
      <c r="H14" s="50">
        <f t="shared" si="1"/>
        <v>967625258.49465227</v>
      </c>
      <c r="I14" s="6">
        <v>2023</v>
      </c>
      <c r="J14" s="188">
        <f t="shared" ref="J14:J31" si="37">J13*0.995</f>
        <v>3299.7533250000001</v>
      </c>
      <c r="K14" s="189">
        <f t="shared" si="29"/>
        <v>800.51277237499994</v>
      </c>
      <c r="L14" s="85">
        <f t="shared" si="2"/>
        <v>4100.2660973749998</v>
      </c>
      <c r="M14" s="17">
        <f t="shared" si="3"/>
        <v>4731707.0763707496</v>
      </c>
      <c r="N14" s="88">
        <f t="shared" si="36"/>
        <v>16010772.902003633</v>
      </c>
      <c r="O14" s="11">
        <f t="shared" si="30"/>
        <v>72776240.463652879</v>
      </c>
      <c r="P14" s="209">
        <f t="shared" si="15"/>
        <v>31781749.911085427</v>
      </c>
      <c r="Q14" s="90">
        <f t="shared" si="16"/>
        <v>132260881.9581617</v>
      </c>
      <c r="R14" s="288">
        <f t="shared" si="17"/>
        <v>276973347.71993119</v>
      </c>
      <c r="T14" s="214">
        <f>M14*$U$1*$U$2</f>
        <v>2317590.1260063932</v>
      </c>
      <c r="U14" s="9">
        <f>M14*$U$1*(1-$U$2)</f>
        <v>1420458.464326499</v>
      </c>
      <c r="V14" s="226">
        <f>1000*Z42*T14*$W$2</f>
        <v>101025063.90164611</v>
      </c>
      <c r="W14" s="227">
        <f>1000*Z42*U14*$W$1</f>
        <v>61918587.552621804</v>
      </c>
      <c r="X14" s="512">
        <v>0.13607085000000296</v>
      </c>
      <c r="Y14" s="512">
        <v>0.43670502499999841</v>
      </c>
      <c r="Z14" s="267">
        <f>X14*($AB$2/AB14)*O14</f>
        <v>362586.17126608081</v>
      </c>
      <c r="AA14" s="230">
        <f>$AB$3*$Q$7*O14</f>
        <v>9792199.8052420933</v>
      </c>
      <c r="AB14" s="5">
        <f>N14-M14-L42-O72*1154-$AB$2</f>
        <v>9558979.3256328832</v>
      </c>
      <c r="AC14" s="17">
        <f t="shared" si="18"/>
        <v>3634.8693153977047</v>
      </c>
      <c r="AD14" s="267">
        <f t="shared" si="19"/>
        <v>9902724.8996938579</v>
      </c>
      <c r="AE14" s="230">
        <f t="shared" si="20"/>
        <v>69790925.565234959</v>
      </c>
      <c r="AF14" s="276">
        <v>0.33226860401374103</v>
      </c>
      <c r="AG14" s="272">
        <f t="shared" si="4"/>
        <v>24181259.824226275</v>
      </c>
      <c r="AH14" s="278">
        <v>0.22</v>
      </c>
      <c r="AI14" s="278">
        <v>5.0999999999999997E-2</v>
      </c>
      <c r="AJ14" s="232">
        <v>196</v>
      </c>
      <c r="AK14" s="9">
        <v>196</v>
      </c>
      <c r="AL14" s="287">
        <v>2023</v>
      </c>
      <c r="AM14" s="5">
        <f t="shared" si="5"/>
        <v>137534.56400000001</v>
      </c>
      <c r="AN14" s="10">
        <f t="shared" si="6"/>
        <v>719305.80549465225</v>
      </c>
      <c r="AO14" s="10">
        <f t="shared" si="7"/>
        <v>110784.889</v>
      </c>
      <c r="AP14" s="10">
        <f t="shared" ref="AP14:AP31" si="38">P72/1000</f>
        <v>62685.279999999999</v>
      </c>
      <c r="AQ14" s="311">
        <f t="shared" si="21"/>
        <v>1030310.5384946523</v>
      </c>
      <c r="AR14" s="5">
        <f t="shared" si="31"/>
        <v>181783.79386933282</v>
      </c>
      <c r="AS14" s="10">
        <f t="shared" si="22"/>
        <v>10154.785976508174</v>
      </c>
      <c r="AT14" s="10">
        <f t="shared" si="23"/>
        <v>79693.650464928825</v>
      </c>
      <c r="AU14" s="10">
        <f t="shared" si="8"/>
        <v>24181.259824226276</v>
      </c>
      <c r="AV14" s="10">
        <f t="shared" si="9"/>
        <v>220541.17320207754</v>
      </c>
      <c r="AW14" s="10"/>
      <c r="AX14" s="314">
        <f t="shared" si="24"/>
        <v>516354.66333707364</v>
      </c>
      <c r="AY14" s="316">
        <f t="shared" si="10"/>
        <v>10574524.892416652</v>
      </c>
      <c r="AZ14" s="17">
        <f t="shared" si="11"/>
        <v>235725.1491038409</v>
      </c>
      <c r="BA14" s="17">
        <f t="shared" si="12"/>
        <v>240800</v>
      </c>
      <c r="BB14" s="17">
        <f t="shared" si="13"/>
        <v>145687.96922975424</v>
      </c>
      <c r="BC14" s="17">
        <f t="shared" si="14"/>
        <v>0</v>
      </c>
      <c r="BD14" s="17">
        <f>P72/1000*(1+$M$34)</f>
        <v>66861.686779999989</v>
      </c>
      <c r="BE14" s="314">
        <f t="shared" si="25"/>
        <v>11263599.697530247</v>
      </c>
      <c r="BF14" s="319">
        <f t="shared" si="26"/>
        <v>7.0000000000000007E-2</v>
      </c>
      <c r="BG14" s="17">
        <f t="shared" si="32"/>
        <v>788451.97882711736</v>
      </c>
      <c r="BH14" s="17">
        <f t="shared" si="33"/>
        <v>513955.87515757862</v>
      </c>
      <c r="BI14" s="320">
        <f t="shared" si="34"/>
        <v>274496.10366953874</v>
      </c>
      <c r="BJ14" s="321">
        <f t="shared" si="35"/>
        <v>1990429.1276560887</v>
      </c>
    </row>
    <row r="15" spans="1:62" ht="17" thickBot="1">
      <c r="A15" s="43">
        <v>2024</v>
      </c>
      <c r="B15" s="4">
        <v>218</v>
      </c>
      <c r="C15" s="59">
        <f t="shared" si="27"/>
        <v>185.29999999999998</v>
      </c>
      <c r="D15" s="184">
        <f t="shared" si="28"/>
        <v>3583865.9616325861</v>
      </c>
      <c r="E15" s="72">
        <f t="shared" si="0"/>
        <v>664090362.69051814</v>
      </c>
      <c r="F15" s="76">
        <v>124757380</v>
      </c>
      <c r="G15" s="437">
        <f>201710141-L43*G33</f>
        <v>180748881.80000001</v>
      </c>
      <c r="H15" s="50">
        <f t="shared" si="1"/>
        <v>969596624.49051809</v>
      </c>
      <c r="I15" s="6">
        <v>2024</v>
      </c>
      <c r="J15" s="188">
        <f t="shared" si="37"/>
        <v>3283.2545583750002</v>
      </c>
      <c r="K15" s="189">
        <f t="shared" si="29"/>
        <v>808.51020851312489</v>
      </c>
      <c r="L15" s="85">
        <f t="shared" si="2"/>
        <v>4091.764766888125</v>
      </c>
      <c r="M15" s="17">
        <f t="shared" si="3"/>
        <v>4721896.540988896</v>
      </c>
      <c r="N15" s="88">
        <f t="shared" si="36"/>
        <v>19747832.84981221</v>
      </c>
      <c r="O15" s="11">
        <f t="shared" si="30"/>
        <v>73140121.665971145</v>
      </c>
      <c r="P15" s="209">
        <f t="shared" si="15"/>
        <v>34623495.006943017</v>
      </c>
      <c r="Q15" s="90">
        <f t="shared" si="16"/>
        <v>132646590.73378736</v>
      </c>
      <c r="R15" s="288">
        <f t="shared" si="17"/>
        <v>306493501.42947328</v>
      </c>
      <c r="T15" s="214">
        <f>M15*$U$1*$U$2</f>
        <v>2312784.9257763615</v>
      </c>
      <c r="U15" s="9">
        <f>M15*$U$1*(1-$U$2)</f>
        <v>1417513.3416048668</v>
      </c>
      <c r="V15" s="226">
        <f>1000*Z43*T15*$W$2</f>
        <v>103969057.38088268</v>
      </c>
      <c r="W15" s="227">
        <f>1000*Z43*U15*$W$1</f>
        <v>63722970.65279907</v>
      </c>
      <c r="X15" s="512">
        <v>0.29455672500000318</v>
      </c>
      <c r="Y15" s="512">
        <v>0.47338579999999908</v>
      </c>
      <c r="Z15" s="267">
        <f>X15*($AB$2/AB15)*O15</f>
        <v>693811.82779029547</v>
      </c>
      <c r="AA15" s="230">
        <f>$AB$3*$Q$7*O15</f>
        <v>9841160.8042683024</v>
      </c>
      <c r="AB15" s="5">
        <f>N15-M15-L43-O73*1154-$AB$2</f>
        <v>10868033.441323314</v>
      </c>
      <c r="AC15" s="17">
        <f t="shared" si="18"/>
        <v>4132.6463766534771</v>
      </c>
      <c r="AD15" s="267">
        <f t="shared" si="19"/>
        <v>21543914.704030238</v>
      </c>
      <c r="AE15" s="230">
        <f t="shared" si="20"/>
        <v>79745183.825693622</v>
      </c>
      <c r="AF15" s="276">
        <v>0.36884546565582854</v>
      </c>
      <c r="AG15" s="272">
        <f t="shared" si="4"/>
        <v>26977402.23400908</v>
      </c>
      <c r="AH15" s="278">
        <v>0.27</v>
      </c>
      <c r="AI15" s="278">
        <v>4.9000000000000002E-2</v>
      </c>
      <c r="AJ15" s="233">
        <v>12</v>
      </c>
      <c r="AK15" s="67">
        <v>12</v>
      </c>
      <c r="AL15" s="287">
        <v>2024</v>
      </c>
      <c r="AM15" s="5">
        <f t="shared" si="5"/>
        <v>180748.8818</v>
      </c>
      <c r="AN15" s="10">
        <f t="shared" si="6"/>
        <v>664090.36269051814</v>
      </c>
      <c r="AO15" s="10">
        <f t="shared" si="7"/>
        <v>124757.38</v>
      </c>
      <c r="AP15" s="10">
        <f t="shared" si="38"/>
        <v>135778.94759999998</v>
      </c>
      <c r="AQ15" s="311">
        <f t="shared" si="21"/>
        <v>1105375.5720905182</v>
      </c>
      <c r="AR15" s="5">
        <f t="shared" si="31"/>
        <v>205758.2867544117</v>
      </c>
      <c r="AS15" s="10">
        <f t="shared" si="22"/>
        <v>10534.972632058598</v>
      </c>
      <c r="AT15" s="10">
        <f t="shared" si="23"/>
        <v>101289.09852972385</v>
      </c>
      <c r="AU15" s="10">
        <f t="shared" si="8"/>
        <v>26977.402234009081</v>
      </c>
      <c r="AV15" s="10">
        <f t="shared" si="9"/>
        <v>260344.31035889292</v>
      </c>
      <c r="AW15" s="10"/>
      <c r="AX15" s="314">
        <f t="shared" si="24"/>
        <v>604904.07050909614</v>
      </c>
      <c r="AY15" s="316">
        <f t="shared" si="10"/>
        <v>10959816.484422218</v>
      </c>
      <c r="AZ15" s="17">
        <f t="shared" si="11"/>
        <v>242594.46722205961</v>
      </c>
      <c r="BA15" s="17">
        <f t="shared" si="12"/>
        <v>286765</v>
      </c>
      <c r="BB15" s="17">
        <f t="shared" si="13"/>
        <v>148601.7286143493</v>
      </c>
      <c r="BC15" s="17">
        <f t="shared" si="14"/>
        <v>79849.296764999992</v>
      </c>
      <c r="BD15" s="17">
        <f t="shared" ref="BD15:BD31" si="39">P73/1000*(1+$M$34)</f>
        <v>144825.21998384997</v>
      </c>
      <c r="BE15" s="314">
        <f t="shared" si="25"/>
        <v>11862452.197007475</v>
      </c>
      <c r="BF15" s="319">
        <f t="shared" si="26"/>
        <v>7.0000000000000007E-2</v>
      </c>
      <c r="BG15" s="17">
        <f t="shared" si="32"/>
        <v>830371.65379052341</v>
      </c>
      <c r="BH15" s="17">
        <f t="shared" si="33"/>
        <v>500471.50158142205</v>
      </c>
      <c r="BI15" s="320">
        <f t="shared" si="34"/>
        <v>329900.15220910136</v>
      </c>
      <c r="BJ15" s="321">
        <f t="shared" si="35"/>
        <v>2320329.2798651899</v>
      </c>
    </row>
    <row r="16" spans="1:62" ht="16">
      <c r="A16" s="43">
        <v>2025</v>
      </c>
      <c r="B16" s="4">
        <v>208</v>
      </c>
      <c r="C16" s="59">
        <f t="shared" si="27"/>
        <v>176.79999999999998</v>
      </c>
      <c r="D16" s="184">
        <f t="shared" si="28"/>
        <v>3528279.4691664483</v>
      </c>
      <c r="E16" s="72">
        <f t="shared" si="0"/>
        <v>623799810.148628</v>
      </c>
      <c r="F16" s="424">
        <f>0.995*F15</f>
        <v>124133593.09999999</v>
      </c>
      <c r="G16" s="73">
        <f>(N16-D16-(K16*1154)-L44)*$G$33</f>
        <v>255863118.70165032</v>
      </c>
      <c r="H16" s="50">
        <f t="shared" si="1"/>
        <v>1003796521.9502783</v>
      </c>
      <c r="I16" s="6">
        <v>2025</v>
      </c>
      <c r="J16" s="188">
        <f t="shared" si="37"/>
        <v>3266.8382855831251</v>
      </c>
      <c r="K16" s="189">
        <f t="shared" si="29"/>
        <v>804.46765747055929</v>
      </c>
      <c r="L16" s="85">
        <f t="shared" si="2"/>
        <v>4071.3059430536841</v>
      </c>
      <c r="M16" s="17">
        <f t="shared" si="3"/>
        <v>4698287.0582839511</v>
      </c>
      <c r="N16" s="88">
        <f t="shared" si="36"/>
        <v>25727037.79600535</v>
      </c>
      <c r="O16" s="11">
        <f t="shared" si="30"/>
        <v>73505822.274301007</v>
      </c>
      <c r="P16" s="209">
        <f t="shared" si="15"/>
        <v>57294813.314661086</v>
      </c>
      <c r="Q16" s="90">
        <f t="shared" si="16"/>
        <v>132643274.569019</v>
      </c>
      <c r="R16" s="288">
        <f t="shared" si="17"/>
        <v>352048090.27409625</v>
      </c>
      <c r="S16" s="11"/>
      <c r="T16" s="214">
        <f>M16*$U$1*$U$2</f>
        <v>2301221.0011474793</v>
      </c>
      <c r="U16" s="9">
        <f>M16*$U$1*(1-$U$2)</f>
        <v>1410425.7748968422</v>
      </c>
      <c r="V16" s="226">
        <f>1000*Z44*T16*$W$2</f>
        <v>107063749.33370693</v>
      </c>
      <c r="W16" s="227">
        <f>1000*Z44*U16*$W$1</f>
        <v>65619717.333562315</v>
      </c>
      <c r="X16" s="512">
        <v>0.43336787500000185</v>
      </c>
      <c r="Y16" s="512">
        <v>0.77945952500000004</v>
      </c>
      <c r="Z16" s="267">
        <f>X16*($AB$2/AB16)*O16</f>
        <v>773591.70910542214</v>
      </c>
      <c r="AA16" s="230">
        <f>$AB$3*$Q$7*O16</f>
        <v>9890366.608289646</v>
      </c>
      <c r="AB16" s="5">
        <f>N16-M16-L44-O74*1154-$AB$2</f>
        <v>14412346.420558896</v>
      </c>
      <c r="AC16" s="17">
        <f t="shared" si="18"/>
        <v>5480.3963877705137</v>
      </c>
      <c r="AD16" s="267">
        <f t="shared" si="19"/>
        <v>31855061.99914163</v>
      </c>
      <c r="AE16" s="230">
        <f t="shared" si="20"/>
        <v>106280662.18019839</v>
      </c>
      <c r="AF16" s="276">
        <v>0.41581660016036548</v>
      </c>
      <c r="AG16" s="272">
        <f t="shared" si="4"/>
        <v>30564941.11009191</v>
      </c>
      <c r="AH16" s="278">
        <v>0.35</v>
      </c>
      <c r="AI16" s="278">
        <v>4.8000000000000001E-2</v>
      </c>
      <c r="AJ16" s="9"/>
      <c r="AK16" s="32"/>
      <c r="AL16" s="287">
        <v>2025</v>
      </c>
      <c r="AM16" s="5">
        <f t="shared" si="5"/>
        <v>255863.11870165032</v>
      </c>
      <c r="AN16" s="10">
        <f t="shared" si="6"/>
        <v>623799.81014862796</v>
      </c>
      <c r="AO16" s="10">
        <f t="shared" si="7"/>
        <v>124133.5931</v>
      </c>
      <c r="AP16" s="10">
        <f t="shared" si="38"/>
        <v>232518.13636199999</v>
      </c>
      <c r="AQ16" s="311">
        <f t="shared" si="21"/>
        <v>1236314.6583122781</v>
      </c>
      <c r="AR16" s="5">
        <f t="shared" si="31"/>
        <v>255173.53229131992</v>
      </c>
      <c r="AS16" s="10">
        <f t="shared" si="22"/>
        <v>10663.958317395069</v>
      </c>
      <c r="AT16" s="10">
        <f t="shared" si="23"/>
        <v>138135.72417934</v>
      </c>
      <c r="AU16" s="10">
        <f t="shared" si="8"/>
        <v>30564.94111009191</v>
      </c>
      <c r="AV16" s="10">
        <f t="shared" si="9"/>
        <v>304169.22434703197</v>
      </c>
      <c r="AW16" s="10"/>
      <c r="AX16" s="314">
        <f t="shared" si="24"/>
        <v>738707.38024517894</v>
      </c>
      <c r="AY16" s="316">
        <f t="shared" si="10"/>
        <v>11399468.552592412</v>
      </c>
      <c r="AZ16" s="17">
        <f t="shared" si="11"/>
        <v>249815.41511198282</v>
      </c>
      <c r="BA16" s="17">
        <f t="shared" si="12"/>
        <v>335260</v>
      </c>
      <c r="BB16" s="17">
        <f t="shared" si="13"/>
        <v>151573.76318663632</v>
      </c>
      <c r="BC16" s="17">
        <f t="shared" si="14"/>
        <v>159698.59352999998</v>
      </c>
      <c r="BD16" s="17">
        <f t="shared" si="39"/>
        <v>248009.65719711821</v>
      </c>
      <c r="BE16" s="314">
        <f t="shared" si="25"/>
        <v>12543825.981618147</v>
      </c>
      <c r="BF16" s="319">
        <f t="shared" si="26"/>
        <v>7.0000000000000007E-2</v>
      </c>
      <c r="BG16" s="17">
        <f t="shared" si="32"/>
        <v>878067.81871327036</v>
      </c>
      <c r="BH16" s="17">
        <f t="shared" si="33"/>
        <v>497607.27806709916</v>
      </c>
      <c r="BI16" s="320">
        <f t="shared" si="34"/>
        <v>380460.5406461712</v>
      </c>
      <c r="BJ16" s="321">
        <f t="shared" si="35"/>
        <v>2700789.8205113611</v>
      </c>
    </row>
    <row r="17" spans="1:62" ht="16">
      <c r="A17" s="43">
        <v>2026</v>
      </c>
      <c r="B17" s="4">
        <v>198</v>
      </c>
      <c r="C17" s="59">
        <f t="shared" si="27"/>
        <v>168.29999999999998</v>
      </c>
      <c r="D17" s="184">
        <f t="shared" si="28"/>
        <v>3324300.8123552627</v>
      </c>
      <c r="E17" s="72">
        <f t="shared" si="0"/>
        <v>559479826.71939063</v>
      </c>
      <c r="F17" s="424">
        <f t="shared" ref="F17:F25" si="40">0.995*F16</f>
        <v>123512925.1345</v>
      </c>
      <c r="G17" s="73">
        <f t="shared" ref="G17:G31" si="41">(N17-D17-(K17*1154)-L45)*$G$33</f>
        <v>270650245.82208025</v>
      </c>
      <c r="H17" s="50">
        <f t="shared" si="1"/>
        <v>953642997.67597091</v>
      </c>
      <c r="I17" s="6">
        <v>2026</v>
      </c>
      <c r="J17" s="188">
        <f t="shared" si="37"/>
        <v>3250.5040941552093</v>
      </c>
      <c r="K17" s="189">
        <f t="shared" si="29"/>
        <v>800.44531918320649</v>
      </c>
      <c r="L17" s="85">
        <f t="shared" si="2"/>
        <v>4050.949413338416</v>
      </c>
      <c r="M17" s="17">
        <f t="shared" si="3"/>
        <v>4674795.6229925323</v>
      </c>
      <c r="N17" s="88">
        <f t="shared" si="36"/>
        <v>28071873.526555553</v>
      </c>
      <c r="O17" s="11">
        <f t="shared" si="30"/>
        <v>73873351.38567251</v>
      </c>
      <c r="P17" s="209">
        <f t="shared" si="15"/>
        <v>62994730.26444412</v>
      </c>
      <c r="Q17" s="90">
        <f t="shared" si="16"/>
        <v>132639958.48715478</v>
      </c>
      <c r="R17" s="288">
        <f t="shared" si="17"/>
        <v>355941988.77026659</v>
      </c>
      <c r="S17" s="11"/>
      <c r="T17" s="214">
        <f>M17*$U$1*$U$2</f>
        <v>2289714.8961417424</v>
      </c>
      <c r="U17" s="9">
        <f>M17*$U$1*(1-$U$2)</f>
        <v>1403373.6460223582</v>
      </c>
      <c r="V17" s="226">
        <f>1000*Z45*T17*$W$2</f>
        <v>109735307.45412621</v>
      </c>
      <c r="W17" s="227">
        <f>1000*Z45*U17*$W$1</f>
        <v>67257123.923496708</v>
      </c>
      <c r="X17" s="512">
        <v>0.38446302500000229</v>
      </c>
      <c r="Y17" s="512">
        <v>0.85273957500000108</v>
      </c>
      <c r="Z17" s="267">
        <f>X17*($AB$2/AB17)*O17</f>
        <v>695178.25549158722</v>
      </c>
      <c r="AA17" s="230">
        <f>$AB$3*$Q$7*O17</f>
        <v>9939818.4413310941</v>
      </c>
      <c r="AB17" s="5">
        <f>N17-M17-L45-O75*1154-$AB$2</f>
        <v>14299282.479986336</v>
      </c>
      <c r="AC17" s="17">
        <f t="shared" si="18"/>
        <v>5437.4030268409524</v>
      </c>
      <c r="AD17" s="267">
        <f t="shared" si="19"/>
        <v>28401572.140623763</v>
      </c>
      <c r="AE17" s="230">
        <f t="shared" si="20"/>
        <v>105974131.63406336</v>
      </c>
      <c r="AF17" s="276">
        <v>0.45941948327142207</v>
      </c>
      <c r="AG17" s="272">
        <f t="shared" si="4"/>
        <v>33938856.921133853</v>
      </c>
      <c r="AH17" s="278">
        <v>0.38</v>
      </c>
      <c r="AI17" s="278">
        <v>4.4999999999999998E-2</v>
      </c>
      <c r="AJ17" s="9"/>
      <c r="AK17" s="32"/>
      <c r="AL17" s="287">
        <v>2026</v>
      </c>
      <c r="AM17" s="5">
        <f t="shared" si="5"/>
        <v>270650.24582208024</v>
      </c>
      <c r="AN17" s="10">
        <f t="shared" si="6"/>
        <v>559479.82671939058</v>
      </c>
      <c r="AO17" s="10">
        <f t="shared" si="7"/>
        <v>123512.92513449999</v>
      </c>
      <c r="AP17" s="10">
        <f t="shared" si="38"/>
        <v>321371.26733018993</v>
      </c>
      <c r="AQ17" s="311">
        <f t="shared" si="21"/>
        <v>1275014.2650061608</v>
      </c>
      <c r="AR17" s="5">
        <f t="shared" si="31"/>
        <v>288470.79338950251</v>
      </c>
      <c r="AS17" s="10">
        <f t="shared" si="22"/>
        <v>10634.99669682268</v>
      </c>
      <c r="AT17" s="10">
        <f t="shared" si="23"/>
        <v>134375.70377468711</v>
      </c>
      <c r="AU17" s="10">
        <f t="shared" si="8"/>
        <v>33938.856921133854</v>
      </c>
      <c r="AV17" s="10">
        <f t="shared" si="9"/>
        <v>350431.4622230953</v>
      </c>
      <c r="AW17" s="10"/>
      <c r="AX17" s="314">
        <f t="shared" si="24"/>
        <v>817851.81300524145</v>
      </c>
      <c r="AY17" s="316">
        <f t="shared" si="10"/>
        <v>11801345.428977881</v>
      </c>
      <c r="AZ17" s="17">
        <f t="shared" si="11"/>
        <v>256049.05072629449</v>
      </c>
      <c r="BA17" s="17">
        <f t="shared" si="12"/>
        <v>381765</v>
      </c>
      <c r="BB17" s="17">
        <f t="shared" si="13"/>
        <v>154605.23845036901</v>
      </c>
      <c r="BC17" s="17">
        <f t="shared" si="14"/>
        <v>239547.89029499996</v>
      </c>
      <c r="BD17" s="17">
        <f t="shared" si="39"/>
        <v>342782.62801606383</v>
      </c>
      <c r="BE17" s="314">
        <f t="shared" si="25"/>
        <v>13176095.236465609</v>
      </c>
      <c r="BF17" s="319">
        <f t="shared" si="26"/>
        <v>7.0000000000000007E-2</v>
      </c>
      <c r="BG17" s="17">
        <f t="shared" si="32"/>
        <v>922326.66655259265</v>
      </c>
      <c r="BH17" s="17">
        <f t="shared" si="33"/>
        <v>457162.45200091938</v>
      </c>
      <c r="BI17" s="320">
        <f t="shared" si="34"/>
        <v>465164.21455167327</v>
      </c>
      <c r="BJ17" s="321">
        <f t="shared" si="35"/>
        <v>3165954.0350630344</v>
      </c>
    </row>
    <row r="18" spans="1:62" ht="16">
      <c r="A18" s="43">
        <v>2027</v>
      </c>
      <c r="B18" s="4">
        <v>188</v>
      </c>
      <c r="C18" s="59">
        <f t="shared" si="27"/>
        <v>159.79999999999998</v>
      </c>
      <c r="D18" s="184">
        <f t="shared" si="28"/>
        <v>3229558.2392031378</v>
      </c>
      <c r="E18" s="72">
        <f t="shared" si="0"/>
        <v>516083406.62466139</v>
      </c>
      <c r="F18" s="424">
        <f t="shared" si="40"/>
        <v>122895360.50882749</v>
      </c>
      <c r="G18" s="73">
        <f>(N18-D18-(K18*1154)-L46)*$G$33</f>
        <v>260271290.58584487</v>
      </c>
      <c r="H18" s="50">
        <f t="shared" si="1"/>
        <v>899250057.71933377</v>
      </c>
      <c r="I18" s="6">
        <v>2027</v>
      </c>
      <c r="J18" s="188">
        <f t="shared" si="37"/>
        <v>3234.2515736844334</v>
      </c>
      <c r="K18" s="189">
        <f t="shared" si="29"/>
        <v>796.44309258729049</v>
      </c>
      <c r="L18" s="85">
        <f t="shared" si="2"/>
        <v>4030.6946662717237</v>
      </c>
      <c r="M18" s="17">
        <f t="shared" si="3"/>
        <v>4651421.6448775688</v>
      </c>
      <c r="N18" s="88">
        <f t="shared" si="36"/>
        <v>30439514.438466359</v>
      </c>
      <c r="O18" s="11">
        <f t="shared" si="30"/>
        <v>74242718.142600879</v>
      </c>
      <c r="P18" s="209">
        <f t="shared" si="15"/>
        <v>61413899.403383017</v>
      </c>
      <c r="Q18" s="90">
        <f t="shared" si="16"/>
        <v>132636642.48819262</v>
      </c>
      <c r="R18" s="288">
        <f t="shared" si="17"/>
        <v>348811837.10459954</v>
      </c>
      <c r="S18" s="11"/>
      <c r="T18" s="214">
        <f>M18*$U$1*$U$2</f>
        <v>2278266.3216610332</v>
      </c>
      <c r="U18" s="9">
        <f>M18*$U$1*(1-$U$2)</f>
        <v>1396356.7777922463</v>
      </c>
      <c r="V18" s="226">
        <f>1000*Z46*T18*$W$2</f>
        <v>112938958.89829484</v>
      </c>
      <c r="W18" s="227">
        <f>1000*Z46*U18*$W$1</f>
        <v>69220652.22798717</v>
      </c>
      <c r="X18" s="512">
        <v>0.34709345000000269</v>
      </c>
      <c r="Y18" s="512">
        <v>0.82720434999999526</v>
      </c>
      <c r="Z18" s="267">
        <f>X18*($AB$2/AB18)*O18</f>
        <v>723048.90829014825</v>
      </c>
      <c r="AA18" s="230">
        <f>$AB$3*$Q$7*O18</f>
        <v>9989517.5335377492</v>
      </c>
      <c r="AB18" s="5">
        <f>N18-M18-L46-O76*1154-$AB$2</f>
        <v>12473853.855129987</v>
      </c>
      <c r="AC18" s="17">
        <f t="shared" si="18"/>
        <v>4743.2709160886716</v>
      </c>
      <c r="AD18" s="267">
        <f t="shared" si="19"/>
        <v>25769161.177493133</v>
      </c>
      <c r="AE18" s="230">
        <f t="shared" si="20"/>
        <v>92907833.762930304</v>
      </c>
      <c r="AF18" s="276">
        <v>0.50190329137053313</v>
      </c>
      <c r="AG18" s="272">
        <f t="shared" si="4"/>
        <v>37262664.596066177</v>
      </c>
      <c r="AH18" s="278">
        <v>0.41</v>
      </c>
      <c r="AI18" s="278">
        <v>4.3499999999999997E-2</v>
      </c>
      <c r="AJ18" s="9"/>
      <c r="AK18" s="32"/>
      <c r="AL18" s="287">
        <v>2027</v>
      </c>
      <c r="AM18" s="5">
        <f t="shared" si="5"/>
        <v>260271.29058584486</v>
      </c>
      <c r="AN18" s="10">
        <f t="shared" si="6"/>
        <v>516083.40662466141</v>
      </c>
      <c r="AO18" s="10">
        <f t="shared" si="7"/>
        <v>122895.36050882749</v>
      </c>
      <c r="AP18" s="10">
        <f t="shared" si="38"/>
        <v>412320.02894353896</v>
      </c>
      <c r="AQ18" s="311">
        <f t="shared" si="21"/>
        <v>1311570.0866628727</v>
      </c>
      <c r="AR18" s="5">
        <f t="shared" si="31"/>
        <v>315414.38770264713</v>
      </c>
      <c r="AS18" s="10">
        <f t="shared" si="22"/>
        <v>10712.566441827898</v>
      </c>
      <c r="AT18" s="10">
        <f t="shared" si="23"/>
        <v>118676.99494042344</v>
      </c>
      <c r="AU18" s="10">
        <f t="shared" si="8"/>
        <v>37262.664596066177</v>
      </c>
      <c r="AV18" s="10">
        <f t="shared" si="9"/>
        <v>402290.08165285893</v>
      </c>
      <c r="AW18" s="10"/>
      <c r="AX18" s="314">
        <f t="shared" si="24"/>
        <v>884356.69533382356</v>
      </c>
      <c r="AY18" s="316">
        <f t="shared" si="10"/>
        <v>12267947.215073096</v>
      </c>
      <c r="AZ18" s="17">
        <f t="shared" si="11"/>
        <v>263524.23742935457</v>
      </c>
      <c r="BA18" s="17">
        <f t="shared" si="12"/>
        <v>423145.00000000006</v>
      </c>
      <c r="BB18" s="17">
        <f t="shared" si="13"/>
        <v>157697.34321937637</v>
      </c>
      <c r="BC18" s="17">
        <f t="shared" si="14"/>
        <v>410653.52621999994</v>
      </c>
      <c r="BD18" s="17">
        <f t="shared" si="39"/>
        <v>439790.85087190219</v>
      </c>
      <c r="BE18" s="314">
        <f t="shared" si="25"/>
        <v>13962758.172813728</v>
      </c>
      <c r="BF18" s="319">
        <f t="shared" si="26"/>
        <v>7.0000000000000007E-2</v>
      </c>
      <c r="BG18" s="17">
        <f t="shared" si="32"/>
        <v>977393.07209696108</v>
      </c>
      <c r="BH18" s="17">
        <f t="shared" si="33"/>
        <v>427213.39132904913</v>
      </c>
      <c r="BI18" s="320">
        <f t="shared" si="34"/>
        <v>550179.68076791195</v>
      </c>
      <c r="BJ18" s="321">
        <f t="shared" si="35"/>
        <v>3716133.7158309463</v>
      </c>
    </row>
    <row r="19" spans="1:62">
      <c r="A19" s="43">
        <v>2028</v>
      </c>
      <c r="B19" s="4">
        <v>178</v>
      </c>
      <c r="C19" s="59">
        <f t="shared" si="27"/>
        <v>151.29999999999998</v>
      </c>
      <c r="D19" s="184">
        <f t="shared" si="28"/>
        <v>2790561.0468259398</v>
      </c>
      <c r="E19" s="72">
        <f t="shared" si="0"/>
        <v>422211886.38476467</v>
      </c>
      <c r="F19" s="424">
        <f t="shared" si="40"/>
        <v>122280883.70628336</v>
      </c>
      <c r="G19" s="73">
        <f t="shared" si="41"/>
        <v>255033221.2908293</v>
      </c>
      <c r="H19" s="50">
        <f t="shared" si="1"/>
        <v>799525991.3818773</v>
      </c>
      <c r="I19" s="6">
        <v>2028</v>
      </c>
      <c r="J19" s="188">
        <f t="shared" si="37"/>
        <v>3218.0803158160111</v>
      </c>
      <c r="K19" s="189">
        <f t="shared" si="29"/>
        <v>792.46087712435406</v>
      </c>
      <c r="L19" s="85">
        <f t="shared" si="2"/>
        <v>4010.5411929403654</v>
      </c>
      <c r="M19" s="17">
        <f t="shared" si="3"/>
        <v>4628164.5366531815</v>
      </c>
      <c r="N19" s="88">
        <f t="shared" si="36"/>
        <v>32830129.962658111</v>
      </c>
      <c r="O19" s="11">
        <f t="shared" si="30"/>
        <v>74613931.733313888</v>
      </c>
      <c r="P19" s="209">
        <f t="shared" si="15"/>
        <v>63863424.009448923</v>
      </c>
      <c r="Q19" s="90">
        <f t="shared" si="16"/>
        <v>132633326.57213043</v>
      </c>
      <c r="R19" s="288">
        <f t="shared" si="17"/>
        <v>342568153.61333072</v>
      </c>
      <c r="S19" s="11"/>
      <c r="T19" s="214">
        <f>M19*$U$1*$U$2</f>
        <v>2266874.9900527284</v>
      </c>
      <c r="U19" s="9">
        <f>M19*$U$1*(1-$U$2)</f>
        <v>1389374.9939032854</v>
      </c>
      <c r="V19" s="226">
        <f>1000*Z47*T19*$W$2</f>
        <v>116382432.75627084</v>
      </c>
      <c r="W19" s="227">
        <f>1000*Z47*U19*$W$1</f>
        <v>71331168.46352084</v>
      </c>
      <c r="X19" s="512">
        <v>0.30980079999999788</v>
      </c>
      <c r="Y19" s="512">
        <v>0.85591822499999637</v>
      </c>
      <c r="Z19" s="267">
        <f>X19*($AB$2/AB19)*O19</f>
        <v>759925.49142980028</v>
      </c>
      <c r="AA19" s="230">
        <f>$AB$3*$Q$7*O19</f>
        <v>10039465.12120544</v>
      </c>
      <c r="AB19" s="5">
        <f>N19-M19-L47-O77*1154-$AB$2</f>
        <v>10646319.410238422</v>
      </c>
      <c r="AC19" s="17">
        <f t="shared" si="18"/>
        <v>4048.338052414033</v>
      </c>
      <c r="AD19" s="267">
        <f t="shared" si="19"/>
        <v>23115455.742125873</v>
      </c>
      <c r="AE19" s="230">
        <f t="shared" si="20"/>
        <v>79692460.555358827</v>
      </c>
      <c r="AF19" s="276">
        <v>0.55280889942706013</v>
      </c>
      <c r="AG19" s="272">
        <f t="shared" si="4"/>
        <v>41247245.483419046</v>
      </c>
      <c r="AH19" s="279">
        <v>0.44</v>
      </c>
      <c r="AI19" s="279">
        <v>3.7400000000000003E-2</v>
      </c>
      <c r="AJ19" s="9"/>
      <c r="AK19" s="32"/>
      <c r="AL19" s="287">
        <v>2028</v>
      </c>
      <c r="AM19" s="5">
        <f t="shared" si="5"/>
        <v>255033.2212908293</v>
      </c>
      <c r="AN19" s="10">
        <f t="shared" si="6"/>
        <v>422211.88638476469</v>
      </c>
      <c r="AO19" s="10">
        <f t="shared" si="7"/>
        <v>122280.88370628336</v>
      </c>
      <c r="AP19" s="10">
        <f t="shared" si="38"/>
        <v>505463.77499882126</v>
      </c>
      <c r="AQ19" s="311">
        <f t="shared" si="21"/>
        <v>1304989.7663806987</v>
      </c>
      <c r="AR19" s="5">
        <f t="shared" si="31"/>
        <v>347357.05416323815</v>
      </c>
      <c r="AS19" s="10">
        <f t="shared" si="22"/>
        <v>10799.390612635239</v>
      </c>
      <c r="AT19" s="10">
        <f t="shared" si="23"/>
        <v>102807.9162974847</v>
      </c>
      <c r="AU19" s="10">
        <f t="shared" si="8"/>
        <v>41247.245483419043</v>
      </c>
      <c r="AV19" s="10">
        <f t="shared" si="9"/>
        <v>459419.90799123445</v>
      </c>
      <c r="AW19" s="10"/>
      <c r="AX19" s="314">
        <f t="shared" si="24"/>
        <v>961631.51454801159</v>
      </c>
      <c r="AY19" s="316">
        <f t="shared" si="10"/>
        <v>12769048.331202712</v>
      </c>
      <c r="AZ19" s="17">
        <f t="shared" si="11"/>
        <v>271559.00976463198</v>
      </c>
      <c r="BA19" s="17">
        <f t="shared" si="12"/>
        <v>461765.00000000006</v>
      </c>
      <c r="BB19" s="17">
        <f t="shared" si="13"/>
        <v>160851.29008376392</v>
      </c>
      <c r="BC19" s="17">
        <f t="shared" si="14"/>
        <v>581759.16214499983</v>
      </c>
      <c r="BD19" s="17">
        <f t="shared" si="39"/>
        <v>539140.29900811764</v>
      </c>
      <c r="BE19" s="314">
        <f t="shared" si="25"/>
        <v>14784123.092204226</v>
      </c>
      <c r="BF19" s="319">
        <f t="shared" si="26"/>
        <v>7.0000000000000007E-2</v>
      </c>
      <c r="BG19" s="17">
        <f t="shared" si="32"/>
        <v>1034888.6164542959</v>
      </c>
      <c r="BH19" s="17">
        <f t="shared" si="33"/>
        <v>343358.25183268706</v>
      </c>
      <c r="BI19" s="320">
        <f t="shared" si="34"/>
        <v>691530.36462160887</v>
      </c>
      <c r="BJ19" s="321">
        <f t="shared" si="35"/>
        <v>4407664.0804525549</v>
      </c>
    </row>
    <row r="20" spans="1:62">
      <c r="A20" s="43">
        <v>2029</v>
      </c>
      <c r="B20" s="4">
        <v>168</v>
      </c>
      <c r="C20" s="59">
        <f t="shared" si="27"/>
        <v>142.79999999999998</v>
      </c>
      <c r="D20" s="184">
        <f t="shared" si="28"/>
        <v>2302100.9427338</v>
      </c>
      <c r="E20" s="72">
        <f t="shared" si="0"/>
        <v>328740014.62238663</v>
      </c>
      <c r="F20" s="424">
        <f t="shared" si="40"/>
        <v>121669479.28775194</v>
      </c>
      <c r="G20" s="73">
        <f t="shared" si="41"/>
        <v>250811343.41979119</v>
      </c>
      <c r="H20" s="50">
        <f t="shared" si="1"/>
        <v>701220837.32992983</v>
      </c>
      <c r="I20" s="6">
        <v>2029</v>
      </c>
      <c r="J20" s="188">
        <f t="shared" si="37"/>
        <v>3201.9899142369309</v>
      </c>
      <c r="K20" s="189">
        <f t="shared" si="29"/>
        <v>788.49857273873226</v>
      </c>
      <c r="L20" s="85">
        <f t="shared" si="2"/>
        <v>3990.4884869756634</v>
      </c>
      <c r="M20" s="17">
        <f t="shared" si="3"/>
        <v>4605023.7139699152</v>
      </c>
      <c r="N20" s="88">
        <f t="shared" si="36"/>
        <v>35243890.654230811</v>
      </c>
      <c r="O20" s="11">
        <f t="shared" si="30"/>
        <v>74987001.391980454</v>
      </c>
      <c r="P20" s="209">
        <f t="shared" si="15"/>
        <v>58978646.982243508</v>
      </c>
      <c r="Q20" s="90">
        <f t="shared" si="16"/>
        <v>132630010.73896611</v>
      </c>
      <c r="R20" s="288">
        <f t="shared" si="17"/>
        <v>335124202.68550336</v>
      </c>
      <c r="S20" s="11"/>
      <c r="T20" s="214">
        <f>M20*$U$1*$U$2</f>
        <v>2255540.6151024648</v>
      </c>
      <c r="U20" s="9">
        <f>M20*$U$1*(1-$U$2)</f>
        <v>1382428.1189337687</v>
      </c>
      <c r="V20" s="226">
        <f>1000*Z48*T20*$W$2</f>
        <v>119742150.63281353</v>
      </c>
      <c r="W20" s="227">
        <f>1000*Z48*U20*$W$1</f>
        <v>73390350.387853459</v>
      </c>
      <c r="X20" s="512">
        <v>0.25611102500000271</v>
      </c>
      <c r="Y20" s="512">
        <v>0.78651827500000593</v>
      </c>
      <c r="Z20" s="267">
        <f>X20*($AB$2/AB20)*O20</f>
        <v>753535.55106188904</v>
      </c>
      <c r="AA20" s="230">
        <f>$AB$3*$Q$7*O20</f>
        <v>10089662.446811466</v>
      </c>
      <c r="AB20" s="5">
        <f>AVERAGE(AB19,AB21)</f>
        <v>8920281.4869046472</v>
      </c>
      <c r="AC20" s="17">
        <f t="shared" si="18"/>
        <v>3391.9999569946949</v>
      </c>
      <c r="AD20" s="267">
        <f t="shared" si="19"/>
        <v>19204997.788176745</v>
      </c>
      <c r="AE20" s="230">
        <f t="shared" si="20"/>
        <v>67106156.495123953</v>
      </c>
      <c r="AF20" s="276">
        <v>0.59793495607703473</v>
      </c>
      <c r="AG20" s="272">
        <f t="shared" si="4"/>
        <v>44837349.383662373</v>
      </c>
      <c r="AH20" s="279">
        <v>0.47</v>
      </c>
      <c r="AI20" s="279">
        <v>3.0700000000000002E-2</v>
      </c>
      <c r="AJ20" s="9"/>
      <c r="AK20" s="32"/>
      <c r="AL20" s="287">
        <v>2029</v>
      </c>
      <c r="AM20" s="5">
        <f t="shared" si="5"/>
        <v>250811.3434197912</v>
      </c>
      <c r="AN20" s="10">
        <f t="shared" si="6"/>
        <v>328740.01462238666</v>
      </c>
      <c r="AO20" s="10">
        <f t="shared" si="7"/>
        <v>121669.47928775194</v>
      </c>
      <c r="AP20" s="10">
        <f t="shared" si="38"/>
        <v>591104.87188382715</v>
      </c>
      <c r="AQ20" s="311">
        <f t="shared" si="21"/>
        <v>1292325.709213757</v>
      </c>
      <c r="AR20" s="5">
        <f t="shared" si="31"/>
        <v>372976.32903443679</v>
      </c>
      <c r="AS20" s="10">
        <f t="shared" si="22"/>
        <v>10843.197997873354</v>
      </c>
      <c r="AT20" s="10">
        <f t="shared" si="23"/>
        <v>86311.154283300697</v>
      </c>
      <c r="AU20" s="10">
        <f t="shared" si="8"/>
        <v>44837.349383662375</v>
      </c>
      <c r="AV20" s="10">
        <f t="shared" si="9"/>
        <v>520953.79640450893</v>
      </c>
      <c r="AW20" s="10"/>
      <c r="AX20" s="314">
        <f t="shared" si="24"/>
        <v>1035921.8271037822</v>
      </c>
      <c r="AY20" s="316">
        <f t="shared" si="10"/>
        <v>13269700.925297709</v>
      </c>
      <c r="AZ20" s="17">
        <f t="shared" si="11"/>
        <v>279398.35147656489</v>
      </c>
      <c r="BA20" s="17">
        <f t="shared" si="12"/>
        <v>495740.00000000006</v>
      </c>
      <c r="BB20" s="17">
        <f t="shared" si="13"/>
        <v>164068.31588543919</v>
      </c>
      <c r="BC20" s="17">
        <f t="shared" si="14"/>
        <v>752864.79806999979</v>
      </c>
      <c r="BD20" s="17">
        <f t="shared" si="39"/>
        <v>630487.23397308704</v>
      </c>
      <c r="BE20" s="314">
        <f t="shared" si="25"/>
        <v>15592259.624702802</v>
      </c>
      <c r="BF20" s="319">
        <f t="shared" si="26"/>
        <v>7.0000000000000007E-2</v>
      </c>
      <c r="BG20" s="17">
        <f t="shared" si="32"/>
        <v>1091458.1737291962</v>
      </c>
      <c r="BH20" s="17">
        <f t="shared" si="33"/>
        <v>256403.88210997474</v>
      </c>
      <c r="BI20" s="320">
        <f t="shared" si="34"/>
        <v>835054.29161922145</v>
      </c>
      <c r="BJ20" s="321">
        <f t="shared" si="35"/>
        <v>5242718.3720717765</v>
      </c>
    </row>
    <row r="21" spans="1:62">
      <c r="A21" s="43">
        <v>2030</v>
      </c>
      <c r="B21" s="4">
        <v>158</v>
      </c>
      <c r="C21" s="59">
        <f t="shared" si="27"/>
        <v>134.29999999999998</v>
      </c>
      <c r="D21" s="184">
        <f t="shared" si="28"/>
        <v>1665498.794416582</v>
      </c>
      <c r="E21" s="72">
        <f t="shared" si="0"/>
        <v>223676488.09014693</v>
      </c>
      <c r="F21" s="424">
        <f t="shared" si="40"/>
        <v>121061131.89131318</v>
      </c>
      <c r="G21" s="73">
        <f t="shared" si="41"/>
        <v>251984035.6442892</v>
      </c>
      <c r="H21" s="50">
        <f t="shared" si="1"/>
        <v>596721655.62574935</v>
      </c>
      <c r="I21" s="6">
        <v>2030</v>
      </c>
      <c r="J21" s="188">
        <f t="shared" si="37"/>
        <v>3185.9799646657461</v>
      </c>
      <c r="K21" s="189">
        <f t="shared" si="29"/>
        <v>784.55607987503856</v>
      </c>
      <c r="L21" s="85">
        <f t="shared" si="2"/>
        <v>3970.5360445407846</v>
      </c>
      <c r="M21" s="17">
        <f t="shared" si="3"/>
        <v>4581998.5954000652</v>
      </c>
      <c r="N21" s="88">
        <f t="shared" si="36"/>
        <v>37680968.199470177</v>
      </c>
      <c r="O21" s="11">
        <f t="shared" si="30"/>
        <v>75361936.398940355</v>
      </c>
      <c r="P21" s="209">
        <f t="shared" si="15"/>
        <v>67873414.83596465</v>
      </c>
      <c r="Q21" s="90">
        <f t="shared" si="16"/>
        <v>132626694.98869762</v>
      </c>
      <c r="R21" s="288">
        <f t="shared" si="17"/>
        <v>321756157.44696724</v>
      </c>
      <c r="S21" s="11"/>
      <c r="T21" s="214">
        <f>M21*$U$1*$U$2</f>
        <v>2244262.912026952</v>
      </c>
      <c r="U21" s="9">
        <f>M21*$U$1*(1-$U$2)</f>
        <v>1375515.9783390998</v>
      </c>
      <c r="V21" s="226">
        <f>1000*Z49*T21*$W$2</f>
        <v>122240945.87096846</v>
      </c>
      <c r="W21" s="227">
        <f>1000*Z49*U21*$W$1</f>
        <v>74921870.049948424</v>
      </c>
      <c r="X21" s="512">
        <v>0.14790984999999779</v>
      </c>
      <c r="Y21" s="512">
        <v>0.90063257500001015</v>
      </c>
      <c r="Z21" s="267">
        <f>X21*($AB$2/AB21)*O21</f>
        <v>542290.57071712136</v>
      </c>
      <c r="AA21" s="230">
        <f>$AB$3*$Q$7*O21</f>
        <v>10140110.759045523</v>
      </c>
      <c r="AB21" s="5">
        <f>N21-M21-L49-O79*1154-$AB$2</f>
        <v>7194243.5635708719</v>
      </c>
      <c r="AC21" s="17">
        <f t="shared" si="18"/>
        <v>2735.6618615753564</v>
      </c>
      <c r="AD21" s="267">
        <f t="shared" si="19"/>
        <v>11146772.708476642</v>
      </c>
      <c r="AE21" s="230">
        <f t="shared" si="20"/>
        <v>54391997.082772851</v>
      </c>
      <c r="AF21" s="276">
        <v>0.64186474918813807</v>
      </c>
      <c r="AG21" s="272">
        <f t="shared" si="4"/>
        <v>48372170.405038267</v>
      </c>
      <c r="AH21" s="279">
        <v>0.5</v>
      </c>
      <c r="AI21" s="279">
        <v>2.2100000000000002E-2</v>
      </c>
      <c r="AJ21" s="9"/>
      <c r="AK21" s="32"/>
      <c r="AL21" s="349">
        <v>2030</v>
      </c>
      <c r="AM21" s="326">
        <f t="shared" si="5"/>
        <v>251984.03564428919</v>
      </c>
      <c r="AN21" s="240">
        <f t="shared" si="6"/>
        <v>223676.48809014692</v>
      </c>
      <c r="AO21" s="240">
        <f t="shared" si="7"/>
        <v>121061.13189131318</v>
      </c>
      <c r="AP21" s="240">
        <f t="shared" si="38"/>
        <v>678900.21621940797</v>
      </c>
      <c r="AQ21" s="350">
        <f t="shared" si="21"/>
        <v>1275621.8718451574</v>
      </c>
      <c r="AR21" s="326">
        <f t="shared" si="31"/>
        <v>413428.81526191189</v>
      </c>
      <c r="AS21" s="240">
        <f t="shared" si="22"/>
        <v>10682.401329762642</v>
      </c>
      <c r="AT21" s="240">
        <f t="shared" si="23"/>
        <v>65538.769791249491</v>
      </c>
      <c r="AU21" s="240">
        <f t="shared" si="8"/>
        <v>48372.170405038269</v>
      </c>
      <c r="AV21" s="240">
        <f t="shared" si="9"/>
        <v>583414.74836507987</v>
      </c>
      <c r="AW21" s="240"/>
      <c r="AX21" s="351">
        <f t="shared" si="24"/>
        <v>1121436.9051530422</v>
      </c>
      <c r="AY21" s="352">
        <f t="shared" si="10"/>
        <v>13682761.704233583</v>
      </c>
      <c r="AZ21" s="353">
        <f t="shared" si="11"/>
        <v>285228.87369892641</v>
      </c>
      <c r="BA21" s="353">
        <f t="shared" si="12"/>
        <v>528300.00000000012</v>
      </c>
      <c r="BB21" s="353">
        <f t="shared" si="13"/>
        <v>167349.68220314797</v>
      </c>
      <c r="BC21" s="353">
        <f t="shared" si="14"/>
        <v>912563.39159999986</v>
      </c>
      <c r="BD21" s="353">
        <f t="shared" si="39"/>
        <v>724131.94312502595</v>
      </c>
      <c r="BE21" s="351">
        <f t="shared" si="25"/>
        <v>16300335.594860682</v>
      </c>
      <c r="BF21" s="354">
        <f t="shared" si="26"/>
        <v>7.0000000000000007E-2</v>
      </c>
      <c r="BG21" s="353">
        <f t="shared" si="32"/>
        <v>1141023.4916402479</v>
      </c>
      <c r="BH21" s="353">
        <f t="shared" si="33"/>
        <v>154184.96669211518</v>
      </c>
      <c r="BI21" s="355">
        <f t="shared" si="34"/>
        <v>986838.52494813269</v>
      </c>
      <c r="BJ21" s="356">
        <f t="shared" si="35"/>
        <v>6229556.8970199097</v>
      </c>
    </row>
    <row r="22" spans="1:62">
      <c r="A22" s="43">
        <v>2031</v>
      </c>
      <c r="B22" s="4">
        <v>148</v>
      </c>
      <c r="C22" s="59">
        <f t="shared" si="27"/>
        <v>125.8</v>
      </c>
      <c r="D22" s="184">
        <f t="shared" si="28"/>
        <v>1196672.1880787741</v>
      </c>
      <c r="E22" s="72">
        <f t="shared" si="0"/>
        <v>150541361.26030979</v>
      </c>
      <c r="F22" s="424">
        <f t="shared" si="40"/>
        <v>120455826.23185661</v>
      </c>
      <c r="G22" s="73">
        <f t="shared" si="41"/>
        <v>245834695.07544106</v>
      </c>
      <c r="H22" s="50">
        <f t="shared" si="1"/>
        <v>516831882.56760752</v>
      </c>
      <c r="I22" s="6">
        <v>2031</v>
      </c>
      <c r="J22" s="188">
        <f t="shared" si="37"/>
        <v>3170.0500648424172</v>
      </c>
      <c r="K22" s="189">
        <f t="shared" si="29"/>
        <v>780.63329947566342</v>
      </c>
      <c r="L22" s="85">
        <f t="shared" si="2"/>
        <v>3950.6833643180807</v>
      </c>
      <c r="M22" s="17">
        <f t="shared" si="3"/>
        <v>4559088.6024230653</v>
      </c>
      <c r="N22" s="88">
        <f t="shared" si="36"/>
        <v>39762841.692490906</v>
      </c>
      <c r="O22" s="11">
        <f t="shared" si="30"/>
        <v>75738746.080935061</v>
      </c>
      <c r="P22" s="515">
        <f>AVERAGE(P19:P21)</f>
        <v>63571828.609219022</v>
      </c>
      <c r="Q22" s="90">
        <f t="shared" si="16"/>
        <v>132623379.32132292</v>
      </c>
      <c r="R22" s="288">
        <f t="shared" si="17"/>
        <v>343388792.63133043</v>
      </c>
      <c r="S22" s="11"/>
      <c r="T22" s="214">
        <f>M22*$U$1*$U$2</f>
        <v>2233041.5974668176</v>
      </c>
      <c r="U22" s="9">
        <f>M22*$U$1*(1-$U$2)</f>
        <v>1368638.3984474044</v>
      </c>
      <c r="V22" s="226">
        <f>1000*Z50*T22*$W$2</f>
        <v>123450567.12083559</v>
      </c>
      <c r="W22" s="227">
        <f>1000*Z50*U22*$W$1</f>
        <v>75663250.815996006</v>
      </c>
      <c r="X22" s="513"/>
      <c r="Y22" s="513"/>
      <c r="Z22" s="267">
        <f>AVERAGE(Z19:Z21)</f>
        <v>685250.53773627023</v>
      </c>
      <c r="AA22" s="230">
        <f>AVERAGE(AA19:AA21)</f>
        <v>10089746.109020809</v>
      </c>
      <c r="AB22" s="343">
        <f>N22-M22-L50-O80*1154-$AB$2</f>
        <v>5188162.9197711013</v>
      </c>
      <c r="AC22" s="347">
        <f t="shared" si="18"/>
        <v>1972.8355463423461</v>
      </c>
      <c r="AD22" s="267">
        <f>AVERAGE(AD19:AD21)</f>
        <v>17822408.746259753</v>
      </c>
      <c r="AE22" s="230">
        <f>AVERAGE(AE19:AE21)</f>
        <v>67063538.044418544</v>
      </c>
      <c r="AF22" s="219">
        <f>AF21</f>
        <v>0.64186474918813807</v>
      </c>
      <c r="AG22" s="272">
        <f t="shared" si="4"/>
        <v>48614031.257063456</v>
      </c>
      <c r="AH22" s="279">
        <f>AH21+0.025</f>
        <v>0.52500000000000002</v>
      </c>
      <c r="AI22" s="279">
        <v>1.5800000000000002E-2</v>
      </c>
      <c r="AJ22" s="9"/>
      <c r="AK22" s="32"/>
      <c r="AL22" s="287">
        <v>2031</v>
      </c>
      <c r="AM22" s="5">
        <f t="shared" si="5"/>
        <v>245834.69507544106</v>
      </c>
      <c r="AN22" s="10">
        <f t="shared" si="6"/>
        <v>150541.36126030979</v>
      </c>
      <c r="AO22" s="10">
        <f t="shared" si="7"/>
        <v>120455.82623185661</v>
      </c>
      <c r="AP22" s="10">
        <f t="shared" si="38"/>
        <v>769019.44158831087</v>
      </c>
      <c r="AQ22" s="311">
        <f t="shared" si="21"/>
        <v>1285851.3241559183</v>
      </c>
      <c r="AR22" s="5">
        <f t="shared" si="31"/>
        <v>441815.50851766061</v>
      </c>
      <c r="AS22" s="10">
        <f t="shared" si="22"/>
        <v>10774.996646757079</v>
      </c>
      <c r="AT22" s="10">
        <f t="shared" si="23"/>
        <v>84885.946790678296</v>
      </c>
      <c r="AU22" s="10">
        <f t="shared" si="8"/>
        <v>48614.031257063456</v>
      </c>
      <c r="AV22" s="10">
        <f t="shared" si="9"/>
        <v>643716.98240102699</v>
      </c>
      <c r="AW22" s="10"/>
      <c r="AX22" s="314">
        <f t="shared" si="24"/>
        <v>1229807.4656131864</v>
      </c>
      <c r="AY22" s="316">
        <f t="shared" si="10"/>
        <v>13957033.861078557</v>
      </c>
      <c r="AZ22" s="17">
        <f t="shared" si="11"/>
        <v>288051.32328194974</v>
      </c>
      <c r="BA22" s="17">
        <f t="shared" si="12"/>
        <v>598810</v>
      </c>
      <c r="BB22" s="17">
        <f t="shared" si="13"/>
        <v>170696.67584721095</v>
      </c>
      <c r="BC22" s="17">
        <f t="shared" si="14"/>
        <v>1072261.9851299997</v>
      </c>
      <c r="BD22" s="17">
        <f t="shared" si="39"/>
        <v>820255.36188413203</v>
      </c>
      <c r="BE22" s="314">
        <f t="shared" si="25"/>
        <v>16907109.207221851</v>
      </c>
      <c r="BF22" s="319">
        <f t="shared" si="26"/>
        <v>7.0000000000000007E-2</v>
      </c>
      <c r="BG22" s="17">
        <f t="shared" si="32"/>
        <v>1183497.6445055297</v>
      </c>
      <c r="BH22" s="17">
        <f t="shared" si="33"/>
        <v>56043.858542731963</v>
      </c>
      <c r="BI22" s="320">
        <f t="shared" si="34"/>
        <v>1127453.7859627977</v>
      </c>
      <c r="BJ22" s="321">
        <f t="shared" si="35"/>
        <v>7357010.6829827074</v>
      </c>
    </row>
    <row r="23" spans="1:62">
      <c r="A23" s="43">
        <v>2032</v>
      </c>
      <c r="B23" s="4">
        <v>138</v>
      </c>
      <c r="C23" s="59">
        <f t="shared" si="27"/>
        <v>117.3</v>
      </c>
      <c r="D23" s="184">
        <f t="shared" si="28"/>
        <v>1065644.1573587563</v>
      </c>
      <c r="E23" s="72">
        <f t="shared" si="0"/>
        <v>125000059.65818211</v>
      </c>
      <c r="F23" s="424">
        <f t="shared" si="40"/>
        <v>119853547.10069732</v>
      </c>
      <c r="G23" s="73">
        <f t="shared" si="41"/>
        <v>235234131.51589623</v>
      </c>
      <c r="H23" s="50">
        <f t="shared" si="1"/>
        <v>480087738.27477562</v>
      </c>
      <c r="I23" s="6">
        <v>2032</v>
      </c>
      <c r="J23" s="188">
        <f t="shared" si="37"/>
        <v>3154.1998145182051</v>
      </c>
      <c r="K23" s="189">
        <f t="shared" si="29"/>
        <v>776.73013297828516</v>
      </c>
      <c r="L23" s="85">
        <f t="shared" si="2"/>
        <v>3930.9299474964901</v>
      </c>
      <c r="M23" s="17">
        <f t="shared" si="3"/>
        <v>4536293.1594109498</v>
      </c>
      <c r="N23" s="88">
        <f t="shared" si="36"/>
        <v>41864591.896236859</v>
      </c>
      <c r="O23" s="11">
        <f t="shared" si="30"/>
        <v>76117439.811339736</v>
      </c>
      <c r="P23" s="515">
        <f>P22*1.021</f>
        <v>64906837.010012619</v>
      </c>
      <c r="Q23" s="90">
        <f t="shared" si="16"/>
        <v>132620063.73683986</v>
      </c>
      <c r="R23" s="288">
        <f t="shared" si="17"/>
        <v>350000073.82197613</v>
      </c>
      <c r="S23" s="11"/>
      <c r="T23" s="214">
        <f>M23*$U$1*$U$2</f>
        <v>2221876.389479483</v>
      </c>
      <c r="U23" s="9">
        <f>M23*$U$1*(1-$U$2)</f>
        <v>1361795.2064551672</v>
      </c>
      <c r="V23" s="226">
        <f>1000*Z51*T23*$W$2</f>
        <v>126153352.47858359</v>
      </c>
      <c r="W23" s="227">
        <f>1000*Z51*U23*$W$1</f>
        <v>77319796.680422217</v>
      </c>
      <c r="X23" s="513"/>
      <c r="Y23" s="513"/>
      <c r="Z23" s="267">
        <f>Z22*1.021</f>
        <v>699640.79902873188</v>
      </c>
      <c r="AA23" s="230">
        <f>AA22*1.021</f>
        <v>10301630.777310245</v>
      </c>
      <c r="AB23" s="343"/>
      <c r="AC23" s="347">
        <f t="shared" si="18"/>
        <v>0</v>
      </c>
      <c r="AD23" s="267">
        <f>AD22*1.021</f>
        <v>18196679.329931207</v>
      </c>
      <c r="AE23" s="230">
        <f>AE22*1.021</f>
        <v>68471872.343351319</v>
      </c>
      <c r="AF23" s="219">
        <f t="shared" ref="AF23:AF31" si="42">AF22</f>
        <v>0.64186474918813807</v>
      </c>
      <c r="AG23" s="272">
        <f t="shared" si="4"/>
        <v>48857101.413348779</v>
      </c>
      <c r="AH23" s="280">
        <f t="shared" ref="AH23:AH31" si="43">AH22+0.025</f>
        <v>0.55000000000000004</v>
      </c>
      <c r="AI23" s="280">
        <v>1.4E-2</v>
      </c>
      <c r="AJ23" s="9"/>
      <c r="AK23" s="32"/>
      <c r="AL23" s="287">
        <v>2032</v>
      </c>
      <c r="AM23" s="5">
        <f t="shared" si="5"/>
        <v>235234.13151589624</v>
      </c>
      <c r="AN23" s="10">
        <f t="shared" si="6"/>
        <v>125000.05965818212</v>
      </c>
      <c r="AO23" s="10">
        <f t="shared" si="7"/>
        <v>119853.54710069732</v>
      </c>
      <c r="AP23" s="10">
        <f t="shared" si="38"/>
        <v>851912.23404436919</v>
      </c>
      <c r="AQ23" s="311">
        <f t="shared" si="21"/>
        <v>1331999.9723191448</v>
      </c>
      <c r="AR23" s="5">
        <f t="shared" si="31"/>
        <v>477013.59118701087</v>
      </c>
      <c r="AS23" s="10">
        <f t="shared" si="22"/>
        <v>11001.271576338977</v>
      </c>
      <c r="AT23" s="10">
        <f t="shared" si="23"/>
        <v>86668.551673282534</v>
      </c>
      <c r="AU23" s="10">
        <f t="shared" si="8"/>
        <v>48857.101413348777</v>
      </c>
      <c r="AV23" s="10">
        <f t="shared" si="9"/>
        <v>716114.40362920251</v>
      </c>
      <c r="AW23" s="10"/>
      <c r="AX23" s="314">
        <f t="shared" si="24"/>
        <v>1339654.9194791839</v>
      </c>
      <c r="AY23" s="316">
        <f t="shared" si="10"/>
        <v>14405947.243142053</v>
      </c>
      <c r="AZ23" s="17">
        <f t="shared" si="11"/>
        <v>294357.82245002838</v>
      </c>
      <c r="BA23" s="17">
        <f t="shared" si="12"/>
        <v>674135.00000000012</v>
      </c>
      <c r="BB23" s="17">
        <f t="shared" si="13"/>
        <v>174110.60936415519</v>
      </c>
      <c r="BC23" s="17">
        <f t="shared" si="14"/>
        <v>1231960.5786599999</v>
      </c>
      <c r="BD23" s="17">
        <f t="shared" si="39"/>
        <v>908670.88663757523</v>
      </c>
      <c r="BE23" s="314">
        <f t="shared" si="25"/>
        <v>17689182.140253812</v>
      </c>
      <c r="BF23" s="319">
        <f t="shared" si="26"/>
        <v>7.0000000000000007E-2</v>
      </c>
      <c r="BG23" s="17">
        <f t="shared" si="32"/>
        <v>1238242.7498177669</v>
      </c>
      <c r="BH23" s="17">
        <f t="shared" si="33"/>
        <v>-7654.9471600390971</v>
      </c>
      <c r="BI23" s="320">
        <f t="shared" si="34"/>
        <v>1245897.696977806</v>
      </c>
      <c r="BJ23" s="321">
        <f t="shared" si="35"/>
        <v>8602908.3799605127</v>
      </c>
    </row>
    <row r="24" spans="1:62" ht="16" thickBot="1">
      <c r="A24" s="43">
        <v>2033</v>
      </c>
      <c r="B24" s="4">
        <v>128</v>
      </c>
      <c r="C24" s="59">
        <f t="shared" si="27"/>
        <v>108.8</v>
      </c>
      <c r="D24" s="184">
        <f t="shared" si="28"/>
        <v>841478.29711436084</v>
      </c>
      <c r="E24" s="72">
        <f t="shared" si="0"/>
        <v>91552838.726042464</v>
      </c>
      <c r="F24" s="424">
        <f t="shared" si="40"/>
        <v>119254279.36519384</v>
      </c>
      <c r="G24" s="73">
        <f t="shared" si="41"/>
        <v>226217510.30583525</v>
      </c>
      <c r="H24" s="50">
        <f t="shared" si="1"/>
        <v>437024628.39707154</v>
      </c>
      <c r="I24" s="6">
        <v>2033</v>
      </c>
      <c r="J24" s="188">
        <f t="shared" si="37"/>
        <v>3138.428815445614</v>
      </c>
      <c r="K24" s="189">
        <f t="shared" si="29"/>
        <v>772.84648231339372</v>
      </c>
      <c r="L24" s="85">
        <f t="shared" si="2"/>
        <v>3911.2752977590076</v>
      </c>
      <c r="M24" s="17">
        <f t="shared" si="3"/>
        <v>4513611.6936138943</v>
      </c>
      <c r="N24" s="88">
        <f t="shared" si="36"/>
        <v>43986365.530977957</v>
      </c>
      <c r="O24" s="11">
        <f t="shared" si="30"/>
        <v>76498027.010396436</v>
      </c>
      <c r="P24" s="209">
        <f t="shared" ref="P24:P31" si="44">P23*1.021</f>
        <v>66269880.587222882</v>
      </c>
      <c r="Q24" s="90">
        <f t="shared" si="16"/>
        <v>132616748.23524646</v>
      </c>
      <c r="R24" s="288">
        <f t="shared" si="17"/>
        <v>357650919.82950914</v>
      </c>
      <c r="S24" s="11"/>
      <c r="T24" s="214">
        <f>M24*$U$1*$U$2</f>
        <v>2210767.0075320853</v>
      </c>
      <c r="U24" s="9">
        <f>M24*$U$1*(1-$U$2)</f>
        <v>1354986.230422891</v>
      </c>
      <c r="V24" s="226">
        <f>1000*Z52*T24*$W$2</f>
        <v>129473758.89016265</v>
      </c>
      <c r="W24" s="227">
        <f>1000*Z52*U24*$W$1</f>
        <v>79354884.481067434</v>
      </c>
      <c r="X24" s="513"/>
      <c r="Y24" s="513"/>
      <c r="Z24" s="267">
        <f t="shared" ref="Z24:AB31" si="45">Z23*1.021</f>
        <v>714333.25580833515</v>
      </c>
      <c r="AA24" s="230">
        <f t="shared" si="45"/>
        <v>10517965.023633759</v>
      </c>
      <c r="AB24" s="343"/>
      <c r="AC24" s="347">
        <f t="shared" si="18"/>
        <v>0</v>
      </c>
      <c r="AD24" s="267">
        <f t="shared" ref="AD24:AE31" si="46">AD23*1.021</f>
        <v>18578809.595859762</v>
      </c>
      <c r="AE24" s="230">
        <f t="shared" si="46"/>
        <v>69909781.662561685</v>
      </c>
      <c r="AF24" s="219">
        <f t="shared" si="42"/>
        <v>0.64186474918813807</v>
      </c>
      <c r="AG24" s="272">
        <f t="shared" si="4"/>
        <v>49101386.920415521</v>
      </c>
      <c r="AH24" s="279">
        <f t="shared" si="43"/>
        <v>0.57500000000000007</v>
      </c>
      <c r="AI24" s="281">
        <v>1.1000000000000001E-2</v>
      </c>
      <c r="AJ24" s="9"/>
      <c r="AK24" s="32"/>
      <c r="AL24" s="287">
        <v>2033</v>
      </c>
      <c r="AM24" s="5">
        <f t="shared" si="5"/>
        <v>226217.51030583525</v>
      </c>
      <c r="AN24" s="10">
        <f t="shared" si="6"/>
        <v>91552.838726042464</v>
      </c>
      <c r="AO24" s="10">
        <f t="shared" si="7"/>
        <v>119254.27936519384</v>
      </c>
      <c r="AP24" s="10">
        <f t="shared" si="38"/>
        <v>937055.06227664731</v>
      </c>
      <c r="AQ24" s="311">
        <f t="shared" si="21"/>
        <v>1374079.6906737189</v>
      </c>
      <c r="AR24" s="5">
        <f t="shared" si="31"/>
        <v>513459.31941388227</v>
      </c>
      <c r="AS24" s="10">
        <f t="shared" si="22"/>
        <v>11232.298279442095</v>
      </c>
      <c r="AT24" s="10">
        <f t="shared" si="23"/>
        <v>88488.591258421453</v>
      </c>
      <c r="AU24" s="10">
        <f t="shared" si="8"/>
        <v>49101.38692041552</v>
      </c>
      <c r="AV24" s="10">
        <f t="shared" si="9"/>
        <v>797621.39841223101</v>
      </c>
      <c r="AW24" s="10"/>
      <c r="AX24" s="314">
        <f t="shared" si="24"/>
        <v>1459902.9942843923</v>
      </c>
      <c r="AY24" s="316">
        <f t="shared" si="10"/>
        <v>14933711.649957716</v>
      </c>
      <c r="AZ24" s="17">
        <f t="shared" si="11"/>
        <v>302105.43741037947</v>
      </c>
      <c r="BA24" s="17">
        <f t="shared" si="12"/>
        <v>753255.00000000012</v>
      </c>
      <c r="BB24" s="17">
        <f t="shared" si="13"/>
        <v>177592.82155143828</v>
      </c>
      <c r="BC24" s="17">
        <f t="shared" si="14"/>
        <v>1391659.1721899996</v>
      </c>
      <c r="BD24" s="17">
        <f t="shared" si="39"/>
        <v>999486.3558008289</v>
      </c>
      <c r="BE24" s="314">
        <f t="shared" si="25"/>
        <v>18557810.436910365</v>
      </c>
      <c r="BF24" s="319">
        <f t="shared" si="26"/>
        <v>7.0000000000000007E-2</v>
      </c>
      <c r="BG24" s="17">
        <f t="shared" si="32"/>
        <v>1299046.7305837257</v>
      </c>
      <c r="BH24" s="17">
        <f t="shared" si="33"/>
        <v>-85823.303610673407</v>
      </c>
      <c r="BI24" s="320">
        <f t="shared" si="34"/>
        <v>1384870.0341943991</v>
      </c>
      <c r="BJ24" s="321">
        <f t="shared" si="35"/>
        <v>9987778.4141549114</v>
      </c>
    </row>
    <row r="25" spans="1:62">
      <c r="A25" s="43">
        <v>2034</v>
      </c>
      <c r="B25" s="4">
        <v>118</v>
      </c>
      <c r="C25" s="59">
        <f t="shared" si="27"/>
        <v>100.3</v>
      </c>
      <c r="D25" s="184">
        <f t="shared" si="28"/>
        <v>0</v>
      </c>
      <c r="E25" s="72">
        <f t="shared" si="0"/>
        <v>0</v>
      </c>
      <c r="F25" s="424">
        <f t="shared" si="40"/>
        <v>118658007.96836787</v>
      </c>
      <c r="G25" s="73">
        <f>(N25-D25-(K25*1154)-L53)*$G$33</f>
        <v>226125345.1923528</v>
      </c>
      <c r="H25" s="50">
        <f t="shared" si="1"/>
        <v>344783353.16072071</v>
      </c>
      <c r="I25" s="6">
        <v>2034</v>
      </c>
      <c r="J25" s="188">
        <f t="shared" si="37"/>
        <v>3122.7366713683859</v>
      </c>
      <c r="K25" s="189">
        <f t="shared" si="29"/>
        <v>768.98224990182678</v>
      </c>
      <c r="L25" s="85">
        <f t="shared" si="2"/>
        <v>3891.7189212702128</v>
      </c>
      <c r="M25" s="17">
        <f t="shared" si="3"/>
        <v>4491043.6351458253</v>
      </c>
      <c r="N25" s="88">
        <f t="shared" si="36"/>
        <v>46128310.287269056</v>
      </c>
      <c r="O25" s="11">
        <f t="shared" si="30"/>
        <v>76880517.145448416</v>
      </c>
      <c r="P25" s="209">
        <f t="shared" si="44"/>
        <v>67661548.079554558</v>
      </c>
      <c r="Q25" s="90">
        <f t="shared" si="16"/>
        <v>132613432.81654058</v>
      </c>
      <c r="R25" s="288">
        <f t="shared" si="17"/>
        <v>366698048.0129258</v>
      </c>
      <c r="S25" s="11"/>
      <c r="T25" s="214">
        <f>M25*$U$1*$U$2</f>
        <v>2199713.1724944254</v>
      </c>
      <c r="U25" s="9">
        <f>M25*$U$1*(1-$U$2)</f>
        <v>1348211.2992707768</v>
      </c>
      <c r="V25" s="226">
        <f>1000*Z53*T25*$W$2</f>
        <v>133632398.0826447</v>
      </c>
      <c r="W25" s="227">
        <f>1000*Z53*U25*$W$1</f>
        <v>81903727.857104823</v>
      </c>
      <c r="X25" s="513"/>
      <c r="Y25" s="513"/>
      <c r="Z25" s="267">
        <f t="shared" si="45"/>
        <v>729334.25418031006</v>
      </c>
      <c r="AA25" s="230">
        <f t="shared" si="45"/>
        <v>10738842.289130067</v>
      </c>
      <c r="AB25" s="343"/>
      <c r="AC25" s="347">
        <f t="shared" si="18"/>
        <v>0</v>
      </c>
      <c r="AD25" s="267">
        <f t="shared" si="46"/>
        <v>18968964.597372815</v>
      </c>
      <c r="AE25" s="230">
        <f t="shared" si="46"/>
        <v>71377887.077475473</v>
      </c>
      <c r="AF25" s="219">
        <f t="shared" si="42"/>
        <v>0.64186474918813807</v>
      </c>
      <c r="AG25" s="272">
        <f t="shared" si="4"/>
        <v>49346893.855017595</v>
      </c>
      <c r="AH25" s="279">
        <f t="shared" si="43"/>
        <v>0.60000000000000009</v>
      </c>
      <c r="AI25" s="32"/>
      <c r="AJ25" s="9"/>
      <c r="AK25" s="32"/>
      <c r="AL25" s="287">
        <v>2034</v>
      </c>
      <c r="AM25" s="5">
        <f t="shared" si="5"/>
        <v>226125.3451923528</v>
      </c>
      <c r="AN25" s="10">
        <f t="shared" si="6"/>
        <v>0</v>
      </c>
      <c r="AO25" s="10">
        <f t="shared" si="7"/>
        <v>118658.00796836788</v>
      </c>
      <c r="AP25" s="10">
        <f t="shared" si="38"/>
        <v>1024599.0404442641</v>
      </c>
      <c r="AQ25" s="311">
        <f t="shared" si="21"/>
        <v>1369382.3936049847</v>
      </c>
      <c r="AR25" s="5">
        <f t="shared" si="31"/>
        <v>551232.76080160146</v>
      </c>
      <c r="AS25" s="10">
        <f t="shared" si="22"/>
        <v>11468.176543310377</v>
      </c>
      <c r="AT25" s="10">
        <f t="shared" si="23"/>
        <v>90346.851674848294</v>
      </c>
      <c r="AU25" s="10">
        <f t="shared" si="8"/>
        <v>49346.893855017595</v>
      </c>
      <c r="AV25" s="10">
        <f t="shared" si="9"/>
        <v>891001.72302595095</v>
      </c>
      <c r="AW25" s="10"/>
      <c r="AX25" s="314">
        <f t="shared" si="24"/>
        <v>1593396.4059007289</v>
      </c>
      <c r="AY25" s="316">
        <f t="shared" si="10"/>
        <v>15568284.084253248</v>
      </c>
      <c r="AZ25" s="17">
        <f t="shared" si="11"/>
        <v>311808.92885950429</v>
      </c>
      <c r="BA25" s="17">
        <f t="shared" si="12"/>
        <v>836150.00000000012</v>
      </c>
      <c r="BB25" s="17">
        <f t="shared" si="13"/>
        <v>181144.67798246699</v>
      </c>
      <c r="BC25" s="17">
        <f t="shared" si="14"/>
        <v>1551357.7657199998</v>
      </c>
      <c r="BD25" s="17">
        <f t="shared" si="39"/>
        <v>1092862.9515138632</v>
      </c>
      <c r="BE25" s="314">
        <f t="shared" si="25"/>
        <v>19541608.408329081</v>
      </c>
      <c r="BF25" s="319">
        <f t="shared" si="26"/>
        <v>7.0000000000000007E-2</v>
      </c>
      <c r="BG25" s="17">
        <f t="shared" si="32"/>
        <v>1367912.5885830359</v>
      </c>
      <c r="BH25" s="17">
        <f t="shared" si="33"/>
        <v>-224014.01229574415</v>
      </c>
      <c r="BI25" s="320">
        <f t="shared" si="34"/>
        <v>1591926.60087878</v>
      </c>
      <c r="BJ25" s="321">
        <f t="shared" si="35"/>
        <v>11579705.015033692</v>
      </c>
    </row>
    <row r="26" spans="1:62">
      <c r="A26" s="43">
        <v>2035</v>
      </c>
      <c r="B26" s="4"/>
      <c r="C26" s="59"/>
      <c r="D26" s="10"/>
      <c r="E26" s="72">
        <f t="shared" si="0"/>
        <v>0</v>
      </c>
      <c r="F26" s="424">
        <f>0.995*F25-$F$1*(F11-F10)</f>
        <v>117737954.49152878</v>
      </c>
      <c r="G26" s="73">
        <f t="shared" si="41"/>
        <v>214536648.80452031</v>
      </c>
      <c r="H26" s="50">
        <f t="shared" si="1"/>
        <v>332274603.29604912</v>
      </c>
      <c r="I26" s="6">
        <v>2035</v>
      </c>
      <c r="J26" s="188">
        <f t="shared" si="37"/>
        <v>3107.1229880115438</v>
      </c>
      <c r="K26" s="189">
        <f t="shared" si="29"/>
        <v>765.13733865231768</v>
      </c>
      <c r="L26" s="85">
        <f t="shared" si="2"/>
        <v>3872.2603266638616</v>
      </c>
      <c r="M26" s="17">
        <f t="shared" si="3"/>
        <v>4468588.4169700965</v>
      </c>
      <c r="N26" s="88">
        <f t="shared" si="36"/>
        <v>48290574.831984796</v>
      </c>
      <c r="O26" s="11">
        <f t="shared" si="30"/>
        <v>77264919.731175661</v>
      </c>
      <c r="P26" s="209">
        <f t="shared" si="44"/>
        <v>69082440.589225203</v>
      </c>
      <c r="Q26" s="90">
        <f t="shared" si="16"/>
        <v>132610117.48072016</v>
      </c>
      <c r="R26" s="288">
        <f t="shared" si="17"/>
        <v>372529906.26873362</v>
      </c>
      <c r="S26" s="11"/>
      <c r="T26" s="214">
        <f>M26*$U$1*$U$2</f>
        <v>2188714.6066319533</v>
      </c>
      <c r="U26" s="9">
        <f>M26*$U$1*(1-$U$2)</f>
        <v>1341470.242774423</v>
      </c>
      <c r="V26" s="226">
        <f>1000*Z54*T26*$W$2</f>
        <v>135769543.16289461</v>
      </c>
      <c r="W26" s="227">
        <f>1000*Z54*U26*$W$1</f>
        <v>83213590.970806375</v>
      </c>
      <c r="X26" s="513"/>
      <c r="Y26" s="513"/>
      <c r="Z26" s="267">
        <f t="shared" si="45"/>
        <v>744650.27351809654</v>
      </c>
      <c r="AA26" s="230">
        <f t="shared" si="45"/>
        <v>10964357.977201797</v>
      </c>
      <c r="AB26" s="343"/>
      <c r="AC26" s="347">
        <f t="shared" si="18"/>
        <v>0</v>
      </c>
      <c r="AD26" s="267">
        <f t="shared" si="46"/>
        <v>19367312.853917643</v>
      </c>
      <c r="AE26" s="230">
        <f t="shared" si="46"/>
        <v>72876822.706102446</v>
      </c>
      <c r="AF26" s="219">
        <f t="shared" si="42"/>
        <v>0.64186474918813807</v>
      </c>
      <c r="AG26" s="272">
        <f t="shared" si="4"/>
        <v>49593628.32429269</v>
      </c>
      <c r="AH26" s="280">
        <f t="shared" si="43"/>
        <v>0.62500000000000011</v>
      </c>
      <c r="AI26" s="32"/>
      <c r="AJ26" s="9"/>
      <c r="AK26" s="32"/>
      <c r="AL26" s="287">
        <v>2035</v>
      </c>
      <c r="AM26" s="5">
        <f t="shared" si="5"/>
        <v>214536.64880452032</v>
      </c>
      <c r="AN26" s="10">
        <f t="shared" si="6"/>
        <v>0</v>
      </c>
      <c r="AO26" s="10">
        <f t="shared" si="7"/>
        <v>117737.95449152878</v>
      </c>
      <c r="AP26" s="10">
        <f t="shared" si="38"/>
        <v>1105186.6860250928</v>
      </c>
      <c r="AQ26" s="311">
        <f t="shared" si="21"/>
        <v>1437461.289321142</v>
      </c>
      <c r="AR26" s="5">
        <f t="shared" si="31"/>
        <v>590415.09867015318</v>
      </c>
      <c r="AS26" s="10">
        <f t="shared" si="22"/>
        <v>11709.008250719893</v>
      </c>
      <c r="AT26" s="10">
        <f t="shared" si="23"/>
        <v>92244.135560020091</v>
      </c>
      <c r="AU26" s="10">
        <f t="shared" si="8"/>
        <v>49593.628324292687</v>
      </c>
      <c r="AV26" s="10">
        <f t="shared" si="9"/>
        <v>977349.38546655292</v>
      </c>
      <c r="AW26" s="10"/>
      <c r="AX26" s="314">
        <f t="shared" si="24"/>
        <v>1721311.2562717388</v>
      </c>
      <c r="AY26" s="316">
        <f t="shared" si="10"/>
        <v>15976230.710380357</v>
      </c>
      <c r="AZ26" s="17">
        <f t="shared" si="11"/>
        <v>316795.60071342072</v>
      </c>
      <c r="BA26" s="17">
        <f t="shared" si="12"/>
        <v>921185</v>
      </c>
      <c r="BB26" s="17">
        <f t="shared" si="13"/>
        <v>184767.57154211635</v>
      </c>
      <c r="BC26" s="17">
        <f t="shared" si="14"/>
        <v>1711056.35925</v>
      </c>
      <c r="BD26" s="17">
        <f t="shared" si="39"/>
        <v>1178819.7489815145</v>
      </c>
      <c r="BE26" s="314">
        <f t="shared" si="25"/>
        <v>20288854.99086741</v>
      </c>
      <c r="BF26" s="319">
        <f t="shared" si="26"/>
        <v>7.0000000000000007E-2</v>
      </c>
      <c r="BG26" s="17">
        <f t="shared" si="32"/>
        <v>1420219.8493607189</v>
      </c>
      <c r="BH26" s="17">
        <f t="shared" si="33"/>
        <v>-283849.96695059678</v>
      </c>
      <c r="BI26" s="320">
        <f t="shared" si="34"/>
        <v>1704069.8163113156</v>
      </c>
      <c r="BJ26" s="321">
        <f t="shared" si="35"/>
        <v>13283774.831345007</v>
      </c>
    </row>
    <row r="27" spans="1:62">
      <c r="A27" s="43">
        <v>2036</v>
      </c>
      <c r="B27" s="4"/>
      <c r="C27" s="59"/>
      <c r="D27" s="10"/>
      <c r="E27" s="72">
        <f t="shared" si="0"/>
        <v>0</v>
      </c>
      <c r="F27" s="424">
        <f>0.995*F26-$F$1*(F12-F11)</f>
        <v>100074754.12924628</v>
      </c>
      <c r="G27" s="73">
        <f t="shared" si="41"/>
        <v>245156732.35241669</v>
      </c>
      <c r="H27" s="50">
        <f t="shared" si="1"/>
        <v>345231486.48166299</v>
      </c>
      <c r="I27" s="6">
        <v>2036</v>
      </c>
      <c r="J27" s="188">
        <f t="shared" si="37"/>
        <v>3091.5873730714861</v>
      </c>
      <c r="K27" s="189">
        <f t="shared" si="29"/>
        <v>761.31165195905612</v>
      </c>
      <c r="L27" s="85">
        <f t="shared" si="2"/>
        <v>3852.8990250305424</v>
      </c>
      <c r="M27" s="17">
        <f t="shared" si="3"/>
        <v>4446245.4748852458</v>
      </c>
      <c r="N27" s="88">
        <f t="shared" si="36"/>
        <v>50473308.81439051</v>
      </c>
      <c r="O27" s="11">
        <f t="shared" si="30"/>
        <v>77651244.329831541</v>
      </c>
      <c r="P27" s="209">
        <f t="shared" si="44"/>
        <v>70533171.841598928</v>
      </c>
      <c r="Q27" s="90">
        <f t="shared" si="16"/>
        <v>132606802.22778314</v>
      </c>
      <c r="R27" s="288">
        <f t="shared" si="17"/>
        <v>378352642.51317447</v>
      </c>
      <c r="S27" s="11"/>
      <c r="T27" s="214">
        <f>M27*$U$1*$U$2</f>
        <v>2177771.0335987937</v>
      </c>
      <c r="U27" s="9">
        <f>M27*$U$1*(1-$U$2)</f>
        <v>1334762.891560551</v>
      </c>
      <c r="V27" s="226">
        <f>1000*Z55*T27*$W$2</f>
        <v>137872429.45422682</v>
      </c>
      <c r="W27" s="227">
        <f>1000*Z55*U27*$W$1</f>
        <v>84502456.762268052</v>
      </c>
      <c r="X27" s="513"/>
      <c r="Y27" s="513"/>
      <c r="Z27" s="267">
        <f t="shared" si="45"/>
        <v>760287.9292619765</v>
      </c>
      <c r="AA27" s="230">
        <f t="shared" si="45"/>
        <v>11194609.494723033</v>
      </c>
      <c r="AB27" s="343"/>
      <c r="AC27" s="347">
        <f t="shared" si="18"/>
        <v>0</v>
      </c>
      <c r="AD27" s="267">
        <f t="shared" si="46"/>
        <v>19774026.42384991</v>
      </c>
      <c r="AE27" s="230">
        <f t="shared" si="46"/>
        <v>74407235.982930586</v>
      </c>
      <c r="AF27" s="219">
        <f t="shared" si="42"/>
        <v>0.64186474918813807</v>
      </c>
      <c r="AG27" s="272">
        <f t="shared" si="4"/>
        <v>49841596.465914153</v>
      </c>
      <c r="AH27" s="279">
        <f t="shared" si="43"/>
        <v>0.65000000000000013</v>
      </c>
      <c r="AI27" s="32"/>
      <c r="AJ27" s="9"/>
      <c r="AK27" s="32"/>
      <c r="AL27" s="287">
        <v>2036</v>
      </c>
      <c r="AM27" s="5">
        <f t="shared" si="5"/>
        <v>245156.7323524167</v>
      </c>
      <c r="AN27" s="10">
        <f t="shared" si="6"/>
        <v>0</v>
      </c>
      <c r="AO27" s="10">
        <f t="shared" si="7"/>
        <v>100074.75412924628</v>
      </c>
      <c r="AP27" s="10">
        <f t="shared" si="38"/>
        <v>1188155.7735215174</v>
      </c>
      <c r="AQ27" s="311">
        <f t="shared" si="21"/>
        <v>1533387.2600031802</v>
      </c>
      <c r="AR27" s="5">
        <f t="shared" si="31"/>
        <v>631054.22564852121</v>
      </c>
      <c r="AS27" s="10">
        <f t="shared" si="22"/>
        <v>11954.89742398501</v>
      </c>
      <c r="AT27" s="10">
        <f t="shared" si="23"/>
        <v>94181.262406780501</v>
      </c>
      <c r="AU27" s="10">
        <f t="shared" si="8"/>
        <v>49841.596465914154</v>
      </c>
      <c r="AV27" s="10">
        <f t="shared" si="9"/>
        <v>1069196.4841446364</v>
      </c>
      <c r="AW27" s="10"/>
      <c r="AX27" s="314">
        <f t="shared" si="24"/>
        <v>1856228.4660898373</v>
      </c>
      <c r="AY27" s="316">
        <f t="shared" si="10"/>
        <v>16386732.949615752</v>
      </c>
      <c r="AZ27" s="17">
        <f t="shared" si="11"/>
        <v>321702.33539319591</v>
      </c>
      <c r="BA27" s="17">
        <f t="shared" si="12"/>
        <v>996590</v>
      </c>
      <c r="BB27" s="17">
        <f t="shared" si="13"/>
        <v>188462.92297295871</v>
      </c>
      <c r="BC27" s="17">
        <f t="shared" si="14"/>
        <v>1711056.35925</v>
      </c>
      <c r="BD27" s="17">
        <f t="shared" si="39"/>
        <v>1267316.6519323883</v>
      </c>
      <c r="BE27" s="314">
        <f t="shared" si="25"/>
        <v>20871861.219164297</v>
      </c>
      <c r="BF27" s="319">
        <f t="shared" si="26"/>
        <v>7.0000000000000007E-2</v>
      </c>
      <c r="BG27" s="17">
        <f t="shared" si="32"/>
        <v>1461030.285341501</v>
      </c>
      <c r="BH27" s="17">
        <f t="shared" si="33"/>
        <v>-322841.20608665701</v>
      </c>
      <c r="BI27" s="320">
        <f t="shared" si="34"/>
        <v>1783871.491428158</v>
      </c>
      <c r="BJ27" s="321">
        <f t="shared" si="35"/>
        <v>15067646.322773164</v>
      </c>
    </row>
    <row r="28" spans="1:62">
      <c r="A28" s="43">
        <v>2037</v>
      </c>
      <c r="B28" s="4"/>
      <c r="C28" s="59"/>
      <c r="D28" s="10"/>
      <c r="E28" s="72">
        <f t="shared" si="0"/>
        <v>0</v>
      </c>
      <c r="F28" s="424">
        <f>0.995*F27-$F$1*(F13-F12)</f>
        <v>55730646.035541624</v>
      </c>
      <c r="G28" s="73">
        <f t="shared" si="41"/>
        <v>276065187.91768754</v>
      </c>
      <c r="H28" s="50">
        <f t="shared" si="1"/>
        <v>331795833.95322919</v>
      </c>
      <c r="I28" s="6">
        <v>2037</v>
      </c>
      <c r="J28" s="188">
        <f t="shared" si="37"/>
        <v>3076.1294362061285</v>
      </c>
      <c r="K28" s="189">
        <f t="shared" si="29"/>
        <v>757.50509369926078</v>
      </c>
      <c r="L28" s="85">
        <f t="shared" si="2"/>
        <v>3833.6345299053892</v>
      </c>
      <c r="M28" s="17">
        <f t="shared" si="3"/>
        <v>4424014.2475108188</v>
      </c>
      <c r="N28" s="88">
        <f t="shared" si="36"/>
        <v>52676662.872249484</v>
      </c>
      <c r="O28" s="11">
        <f t="shared" si="30"/>
        <v>78039500.551480696</v>
      </c>
      <c r="P28" s="209">
        <f t="shared" si="44"/>
        <v>72014368.450272501</v>
      </c>
      <c r="Q28" s="90">
        <f t="shared" si="16"/>
        <v>132603487.05772743</v>
      </c>
      <c r="R28" s="288">
        <f t="shared" si="17"/>
        <v>381530407.75187498</v>
      </c>
      <c r="S28" s="11"/>
      <c r="T28" s="214">
        <f>M28*$U$1*$U$2</f>
        <v>2166882.1784307994</v>
      </c>
      <c r="U28" s="9">
        <f>M28*$U$1*(1-$U$2)</f>
        <v>1328089.077102748</v>
      </c>
      <c r="V28" s="226">
        <f>1000*Z56*T28*$W$2</f>
        <v>138306242.15218022</v>
      </c>
      <c r="W28" s="227">
        <f>1000*Z56*U28*$W$1</f>
        <v>84768341.964239478</v>
      </c>
      <c r="X28" s="513"/>
      <c r="Y28" s="513"/>
      <c r="Z28" s="267">
        <f t="shared" si="45"/>
        <v>776253.97577647795</v>
      </c>
      <c r="AA28" s="230">
        <f t="shared" si="45"/>
        <v>11429696.294112217</v>
      </c>
      <c r="AB28" s="343"/>
      <c r="AC28" s="347">
        <f t="shared" si="18"/>
        <v>0</v>
      </c>
      <c r="AD28" s="267">
        <f t="shared" si="46"/>
        <v>20189280.978750758</v>
      </c>
      <c r="AE28" s="230">
        <f t="shared" si="46"/>
        <v>75969787.938572124</v>
      </c>
      <c r="AF28" s="219">
        <f t="shared" si="42"/>
        <v>0.64186474918813807</v>
      </c>
      <c r="AG28" s="272">
        <f t="shared" si="4"/>
        <v>50090804.448243722</v>
      </c>
      <c r="AH28" s="279">
        <f t="shared" si="43"/>
        <v>0.67500000000000016</v>
      </c>
      <c r="AI28" s="32"/>
      <c r="AJ28" s="9"/>
      <c r="AK28" s="32"/>
      <c r="AL28" s="287">
        <v>2037</v>
      </c>
      <c r="AM28" s="5">
        <f t="shared" si="5"/>
        <v>276065.18791768752</v>
      </c>
      <c r="AN28" s="10">
        <f t="shared" si="6"/>
        <v>0</v>
      </c>
      <c r="AO28" s="10">
        <f t="shared" si="7"/>
        <v>55730.64603554162</v>
      </c>
      <c r="AP28" s="10">
        <f t="shared" si="38"/>
        <v>1273640.5236281601</v>
      </c>
      <c r="AQ28" s="311">
        <f t="shared" si="21"/>
        <v>1605436.3575813891</v>
      </c>
      <c r="AR28" s="5">
        <f t="shared" si="31"/>
        <v>673233.24627463694</v>
      </c>
      <c r="AS28" s="10">
        <f t="shared" si="22"/>
        <v>12205.950269888695</v>
      </c>
      <c r="AT28" s="10">
        <f t="shared" si="23"/>
        <v>96159.068917322875</v>
      </c>
      <c r="AU28" s="10">
        <f t="shared" si="8"/>
        <v>50090.804448243725</v>
      </c>
      <c r="AV28" s="10">
        <f t="shared" si="9"/>
        <v>1153211.4668451124</v>
      </c>
      <c r="AW28" s="10"/>
      <c r="AX28" s="314">
        <f t="shared" si="24"/>
        <v>1984900.5367552047</v>
      </c>
      <c r="AY28" s="316">
        <f t="shared" si="10"/>
        <v>16603502.439504361</v>
      </c>
      <c r="AZ28" s="17">
        <f t="shared" si="11"/>
        <v>322714.56502175384</v>
      </c>
      <c r="BA28" s="17">
        <f t="shared" si="12"/>
        <v>1092845</v>
      </c>
      <c r="BB28" s="17">
        <f t="shared" si="13"/>
        <v>192232.18143241786</v>
      </c>
      <c r="BC28" s="17">
        <f t="shared" si="14"/>
        <v>1711056.35925</v>
      </c>
      <c r="BD28" s="17">
        <f t="shared" si="39"/>
        <v>1358496.8235148862</v>
      </c>
      <c r="BE28" s="314">
        <f t="shared" si="25"/>
        <v>21280847.368723422</v>
      </c>
      <c r="BF28" s="319">
        <f t="shared" si="26"/>
        <v>7.0000000000000007E-2</v>
      </c>
      <c r="BG28" s="17">
        <f t="shared" si="32"/>
        <v>1489659.3158106396</v>
      </c>
      <c r="BH28" s="17">
        <f t="shared" si="33"/>
        <v>-379464.17917381553</v>
      </c>
      <c r="BI28" s="320">
        <f t="shared" si="34"/>
        <v>1869123.4949844552</v>
      </c>
      <c r="BJ28" s="321">
        <f t="shared" si="35"/>
        <v>16936769.817757618</v>
      </c>
    </row>
    <row r="29" spans="1:62">
      <c r="A29" s="43">
        <v>2038</v>
      </c>
      <c r="B29" s="4"/>
      <c r="C29" s="59"/>
      <c r="D29" s="10"/>
      <c r="E29" s="72">
        <f t="shared" si="0"/>
        <v>0</v>
      </c>
      <c r="F29" s="424">
        <f>0.995*F28-$F$1*(F14-F13)</f>
        <v>13419990.853352048</v>
      </c>
      <c r="G29" s="73">
        <f t="shared" si="41"/>
        <v>307264139.89919728</v>
      </c>
      <c r="H29" s="50">
        <f t="shared" si="1"/>
        <v>320684130.75254935</v>
      </c>
      <c r="I29" s="6">
        <v>2038</v>
      </c>
      <c r="J29" s="188">
        <f t="shared" si="37"/>
        <v>3060.7487890250977</v>
      </c>
      <c r="K29" s="189">
        <f t="shared" si="29"/>
        <v>753.71756823076453</v>
      </c>
      <c r="L29" s="85">
        <f t="shared" si="2"/>
        <v>3814.466357255862</v>
      </c>
      <c r="M29" s="17">
        <f t="shared" si="3"/>
        <v>4401894.1762732649</v>
      </c>
      <c r="N29" s="88">
        <f t="shared" si="36"/>
        <v>54900788.637966678</v>
      </c>
      <c r="O29" s="11">
        <f t="shared" si="30"/>
        <v>78429698.054238096</v>
      </c>
      <c r="P29" s="209">
        <f t="shared" si="44"/>
        <v>73526670.187728211</v>
      </c>
      <c r="Q29" s="90">
        <f t="shared" si="16"/>
        <v>132600171.97055095</v>
      </c>
      <c r="R29" s="288">
        <f t="shared" si="17"/>
        <v>385043378.63059086</v>
      </c>
      <c r="S29" s="11"/>
      <c r="T29" s="214">
        <f>M29*$U$1*$U$2</f>
        <v>2156047.7675386453</v>
      </c>
      <c r="U29" s="9">
        <f>M29*$U$1*(1-$U$2)</f>
        <v>1321448.6317172342</v>
      </c>
      <c r="V29" s="226">
        <f>1000*Z57*T29*$W$2</f>
        <v>138918090.053377</v>
      </c>
      <c r="W29" s="227">
        <f>1000*Z57*U29*$W$1</f>
        <v>85143345.516585901</v>
      </c>
      <c r="X29" s="513"/>
      <c r="Y29" s="513"/>
      <c r="Z29" s="267">
        <f t="shared" si="45"/>
        <v>792555.30926778389</v>
      </c>
      <c r="AA29" s="230">
        <f t="shared" si="45"/>
        <v>11669719.916288571</v>
      </c>
      <c r="AB29" s="343"/>
      <c r="AC29" s="347">
        <f t="shared" si="18"/>
        <v>0</v>
      </c>
      <c r="AD29" s="267">
        <f t="shared" si="46"/>
        <v>20613255.879304521</v>
      </c>
      <c r="AE29" s="230">
        <f t="shared" si="46"/>
        <v>77565153.485282138</v>
      </c>
      <c r="AF29" s="219">
        <f t="shared" si="42"/>
        <v>0.64186474918813807</v>
      </c>
      <c r="AG29" s="272">
        <f t="shared" si="4"/>
        <v>50341258.470484935</v>
      </c>
      <c r="AH29" s="280">
        <f t="shared" si="43"/>
        <v>0.70000000000000018</v>
      </c>
      <c r="AI29" s="32"/>
      <c r="AJ29" s="9"/>
      <c r="AK29" s="32"/>
      <c r="AL29" s="287">
        <v>2038</v>
      </c>
      <c r="AM29" s="5">
        <f t="shared" si="5"/>
        <v>307264.13989919727</v>
      </c>
      <c r="AN29" s="10">
        <f t="shared" si="6"/>
        <v>0</v>
      </c>
      <c r="AO29" s="10">
        <f t="shared" si="7"/>
        <v>13419.990853352048</v>
      </c>
      <c r="AP29" s="10">
        <f t="shared" si="38"/>
        <v>1352336.8758145645</v>
      </c>
      <c r="AQ29" s="311">
        <f t="shared" si="21"/>
        <v>1673021.0065671138</v>
      </c>
      <c r="AR29" s="5">
        <f t="shared" si="31"/>
        <v>717036.41151695326</v>
      </c>
      <c r="AS29" s="10">
        <f t="shared" si="22"/>
        <v>12462.275225556356</v>
      </c>
      <c r="AT29" s="10">
        <f t="shared" si="23"/>
        <v>98178.409364586652</v>
      </c>
      <c r="AU29" s="10">
        <f t="shared" si="8"/>
        <v>50341.258470484936</v>
      </c>
      <c r="AV29" s="10">
        <f t="shared" si="9"/>
        <v>1243236.1651567207</v>
      </c>
      <c r="AW29" s="10"/>
      <c r="AX29" s="314">
        <f t="shared" si="24"/>
        <v>2121254.5197343021</v>
      </c>
      <c r="AY29" s="316">
        <f t="shared" si="10"/>
        <v>16844561.642212514</v>
      </c>
      <c r="AZ29" s="17">
        <f t="shared" si="11"/>
        <v>324142.21012454637</v>
      </c>
      <c r="BA29" s="17">
        <f t="shared" si="12"/>
        <v>1193930</v>
      </c>
      <c r="BB29" s="17">
        <f t="shared" si="13"/>
        <v>196076.82506106622</v>
      </c>
      <c r="BC29" s="17">
        <f t="shared" si="14"/>
        <v>1711056.35925</v>
      </c>
      <c r="BD29" s="17">
        <f t="shared" si="39"/>
        <v>1442436.3201657098</v>
      </c>
      <c r="BE29" s="314">
        <f t="shared" si="25"/>
        <v>21712203.356813837</v>
      </c>
      <c r="BF29" s="319">
        <f t="shared" si="26"/>
        <v>7.0000000000000007E-2</v>
      </c>
      <c r="BG29" s="17">
        <f t="shared" si="32"/>
        <v>1519854.2349769687</v>
      </c>
      <c r="BH29" s="17">
        <f t="shared" si="33"/>
        <v>-448233.51316718827</v>
      </c>
      <c r="BI29" s="320">
        <f t="shared" si="34"/>
        <v>1968087.748144157</v>
      </c>
      <c r="BJ29" s="321">
        <f t="shared" si="35"/>
        <v>18904857.565901775</v>
      </c>
    </row>
    <row r="30" spans="1:62">
      <c r="A30" s="43">
        <v>2039</v>
      </c>
      <c r="B30" s="4"/>
      <c r="C30" s="59"/>
      <c r="D30" s="10"/>
      <c r="E30" s="72">
        <f t="shared" si="0"/>
        <v>0</v>
      </c>
      <c r="F30" s="424">
        <f>0.995*F29-$F$1*(F15-F14)</f>
        <v>327313.94562461413</v>
      </c>
      <c r="G30" s="73">
        <f t="shared" si="41"/>
        <v>338755726.69959497</v>
      </c>
      <c r="H30" s="50">
        <f t="shared" si="1"/>
        <v>339083040.64521956</v>
      </c>
      <c r="I30" s="6">
        <v>2039</v>
      </c>
      <c r="J30" s="188">
        <f t="shared" si="37"/>
        <v>3045.4450450799723</v>
      </c>
      <c r="K30" s="189">
        <f t="shared" si="29"/>
        <v>749.94898038961071</v>
      </c>
      <c r="L30" s="85">
        <f t="shared" si="2"/>
        <v>3795.3940254695831</v>
      </c>
      <c r="M30" s="17">
        <f t="shared" si="3"/>
        <v>4379884.7053918988</v>
      </c>
      <c r="N30" s="88">
        <f t="shared" si="36"/>
        <v>57145838.744769253</v>
      </c>
      <c r="O30" s="11">
        <f t="shared" si="30"/>
        <v>78821846.544509292</v>
      </c>
      <c r="P30" s="209">
        <f t="shared" si="44"/>
        <v>75070730.2616705</v>
      </c>
      <c r="Q30" s="90">
        <f t="shared" si="16"/>
        <v>132596856.96625173</v>
      </c>
      <c r="R30" s="288">
        <f t="shared" si="17"/>
        <v>388718161.93204635</v>
      </c>
      <c r="S30" s="11"/>
      <c r="T30" s="214">
        <f>M30*$U$1*$U$2</f>
        <v>2145267.528700952</v>
      </c>
      <c r="U30" s="9">
        <f>M30*$U$1*(1-$U$2)</f>
        <v>1314841.3885586481</v>
      </c>
      <c r="V30" s="226">
        <f>1000*Z58*T30*$W$2</f>
        <v>139599856.08565727</v>
      </c>
      <c r="W30" s="227">
        <f>1000*Z58*U30*$W$1</f>
        <v>85561202.117015764</v>
      </c>
      <c r="X30" s="513"/>
      <c r="Y30" s="513"/>
      <c r="Z30" s="267">
        <f t="shared" si="45"/>
        <v>809198.97076240729</v>
      </c>
      <c r="AA30" s="230">
        <f t="shared" si="45"/>
        <v>11914784.03453063</v>
      </c>
      <c r="AB30" s="343"/>
      <c r="AC30" s="347">
        <f t="shared" si="18"/>
        <v>0</v>
      </c>
      <c r="AD30" s="267">
        <f t="shared" si="46"/>
        <v>21046134.252769914</v>
      </c>
      <c r="AE30" s="230">
        <f t="shared" si="46"/>
        <v>79194021.708473057</v>
      </c>
      <c r="AF30" s="219">
        <f t="shared" si="42"/>
        <v>0.64186474918813807</v>
      </c>
      <c r="AG30" s="272">
        <f t="shared" si="4"/>
        <v>50592964.762837365</v>
      </c>
      <c r="AH30" s="279">
        <f t="shared" si="43"/>
        <v>0.7250000000000002</v>
      </c>
      <c r="AI30" s="32"/>
      <c r="AJ30" s="9"/>
      <c r="AK30" s="32"/>
      <c r="AL30" s="287">
        <v>2039</v>
      </c>
      <c r="AM30" s="5">
        <f t="shared" si="5"/>
        <v>338755.72669959499</v>
      </c>
      <c r="AN30" s="10">
        <f t="shared" si="6"/>
        <v>0</v>
      </c>
      <c r="AO30" s="10">
        <f t="shared" si="7"/>
        <v>327.31394562461412</v>
      </c>
      <c r="AP30" s="10">
        <f t="shared" si="38"/>
        <v>1433565.4464525464</v>
      </c>
      <c r="AQ30" s="311">
        <f t="shared" si="21"/>
        <v>1772648.487097766</v>
      </c>
      <c r="AR30" s="5">
        <f t="shared" si="31"/>
        <v>762549.13004241814</v>
      </c>
      <c r="AS30" s="10">
        <f t="shared" si="22"/>
        <v>12723.983005293037</v>
      </c>
      <c r="AT30" s="10">
        <f t="shared" si="23"/>
        <v>100240.15596124297</v>
      </c>
      <c r="AU30" s="10">
        <f t="shared" si="8"/>
        <v>50592.964762837364</v>
      </c>
      <c r="AV30" s="10">
        <f t="shared" si="9"/>
        <v>1338815.5451666059</v>
      </c>
      <c r="AW30" s="10"/>
      <c r="AX30" s="314">
        <f t="shared" si="24"/>
        <v>2264921.7789383973</v>
      </c>
      <c r="AY30" s="316">
        <f t="shared" si="10"/>
        <v>17097352.329886094</v>
      </c>
      <c r="AZ30" s="17">
        <f t="shared" si="11"/>
        <v>325732.99753320031</v>
      </c>
      <c r="BA30" s="17">
        <f t="shared" si="12"/>
        <v>1300075</v>
      </c>
      <c r="BB30" s="17">
        <f t="shared" si="13"/>
        <v>199998.36156228758</v>
      </c>
      <c r="BC30" s="17">
        <f t="shared" si="14"/>
        <v>1711056.35925</v>
      </c>
      <c r="BD30" s="17">
        <f t="shared" si="39"/>
        <v>1529076.7443224471</v>
      </c>
      <c r="BE30" s="314">
        <f t="shared" si="25"/>
        <v>22163291.792554036</v>
      </c>
      <c r="BF30" s="319">
        <f t="shared" si="26"/>
        <v>7.0000000000000007E-2</v>
      </c>
      <c r="BG30" s="17">
        <f t="shared" si="32"/>
        <v>1551430.4254787827</v>
      </c>
      <c r="BH30" s="17">
        <f t="shared" si="33"/>
        <v>-492273.29184063128</v>
      </c>
      <c r="BI30" s="320">
        <f t="shared" si="34"/>
        <v>2043703.717319414</v>
      </c>
      <c r="BJ30" s="321">
        <f t="shared" si="35"/>
        <v>20948561.283221189</v>
      </c>
    </row>
    <row r="31" spans="1:62" ht="16" thickBot="1">
      <c r="A31" s="43">
        <v>2040</v>
      </c>
      <c r="B31" s="60"/>
      <c r="C31" s="61"/>
      <c r="D31" s="62"/>
      <c r="E31" s="62">
        <f t="shared" si="0"/>
        <v>0</v>
      </c>
      <c r="F31" s="78"/>
      <c r="G31" s="77">
        <f t="shared" si="41"/>
        <v>370542100.81239581</v>
      </c>
      <c r="H31" s="63">
        <f t="shared" si="1"/>
        <v>370542100.81239581</v>
      </c>
      <c r="I31" s="109">
        <v>2040</v>
      </c>
      <c r="J31" s="190">
        <f t="shared" si="37"/>
        <v>3030.2178198545726</v>
      </c>
      <c r="K31" s="190">
        <f t="shared" si="29"/>
        <v>746.19923548766269</v>
      </c>
      <c r="L31" s="86">
        <f t="shared" si="2"/>
        <v>3776.4170553422355</v>
      </c>
      <c r="M31" s="68">
        <f t="shared" si="3"/>
        <v>4357985.2818649402</v>
      </c>
      <c r="N31" s="89">
        <f t="shared" si="36"/>
        <v>59411966.832923897</v>
      </c>
      <c r="O31" s="69">
        <f t="shared" si="30"/>
        <v>79215955.777231842</v>
      </c>
      <c r="P31" s="210">
        <f t="shared" si="44"/>
        <v>76647215.59716557</v>
      </c>
      <c r="Q31" s="91">
        <f t="shared" si="16"/>
        <v>132593542.0448276</v>
      </c>
      <c r="R31" s="289">
        <f>V31+W31+Z31+AA31+AD31+AE31+AG31</f>
        <v>394672290.27997696</v>
      </c>
      <c r="S31" s="69"/>
      <c r="T31" s="215">
        <f>M31*$U$1*$U$2</f>
        <v>2134541.1910574478</v>
      </c>
      <c r="U31" s="67">
        <f>M31*$U$1*(1-$U$2)</f>
        <v>1308267.1816158551</v>
      </c>
      <c r="V31" s="228">
        <f>1000*Z59*T31*$W$2</f>
        <v>141663784.3812651</v>
      </c>
      <c r="W31" s="229">
        <f>1000*Z59*U31*$W$1</f>
        <v>86826190.427227005</v>
      </c>
      <c r="X31" s="514"/>
      <c r="Y31" s="514"/>
      <c r="Z31" s="268">
        <f t="shared" si="45"/>
        <v>826192.14914841775</v>
      </c>
      <c r="AA31" s="231">
        <f t="shared" si="45"/>
        <v>12164994.499255773</v>
      </c>
      <c r="AB31" s="344"/>
      <c r="AC31" s="348">
        <f t="shared" si="18"/>
        <v>0</v>
      </c>
      <c r="AD31" s="268">
        <f t="shared" si="46"/>
        <v>21488103.072078079</v>
      </c>
      <c r="AE31" s="231">
        <f t="shared" si="46"/>
        <v>80857096.164350986</v>
      </c>
      <c r="AF31" s="235">
        <f t="shared" si="42"/>
        <v>0.64186474918813807</v>
      </c>
      <c r="AG31" s="273">
        <f t="shared" si="4"/>
        <v>50845929.586651556</v>
      </c>
      <c r="AH31" s="517">
        <f t="shared" si="43"/>
        <v>0.75000000000000022</v>
      </c>
      <c r="AI31" s="32"/>
      <c r="AJ31" s="9"/>
      <c r="AK31" s="32"/>
      <c r="AL31" s="298">
        <v>2040</v>
      </c>
      <c r="AM31" s="66">
        <f t="shared" si="5"/>
        <v>370542.1008123958</v>
      </c>
      <c r="AN31" s="62">
        <f t="shared" si="6"/>
        <v>0</v>
      </c>
      <c r="AO31" s="62">
        <f t="shared" si="7"/>
        <v>0</v>
      </c>
      <c r="AP31" s="62">
        <f t="shared" si="38"/>
        <v>1517445.0895636284</v>
      </c>
      <c r="AQ31" s="312">
        <f>SUM(AM31:AP31)</f>
        <v>1887987.1903760242</v>
      </c>
      <c r="AR31" s="66">
        <f t="shared" si="31"/>
        <v>809857.97958044347</v>
      </c>
      <c r="AS31" s="62">
        <f t="shared" si="22"/>
        <v>12991.186648404191</v>
      </c>
      <c r="AT31" s="62">
        <f t="shared" si="23"/>
        <v>102345.19923642906</v>
      </c>
      <c r="AU31" s="62">
        <f t="shared" si="8"/>
        <v>50845.929586651553</v>
      </c>
      <c r="AV31" s="62">
        <f t="shared" si="9"/>
        <v>1453819.6361736967</v>
      </c>
      <c r="AW31" s="62"/>
      <c r="AX31" s="315">
        <f t="shared" si="24"/>
        <v>2429859.9312256249</v>
      </c>
      <c r="AY31" s="317">
        <f t="shared" si="10"/>
        <v>17524503.041989755</v>
      </c>
      <c r="AZ31" s="68">
        <f t="shared" si="11"/>
        <v>330548.83022295195</v>
      </c>
      <c r="BA31" s="68">
        <f t="shared" si="12"/>
        <v>1411510</v>
      </c>
      <c r="BB31" s="68">
        <f t="shared" si="13"/>
        <v>203998.32879353329</v>
      </c>
      <c r="BC31" s="68">
        <f t="shared" si="14"/>
        <v>1711056.35925</v>
      </c>
      <c r="BD31" s="68">
        <f t="shared" si="39"/>
        <v>1618544.868655805</v>
      </c>
      <c r="BE31" s="315">
        <f t="shared" si="25"/>
        <v>22800161.428912047</v>
      </c>
      <c r="BF31" s="108">
        <f t="shared" si="26"/>
        <v>7.0000000000000007E-2</v>
      </c>
      <c r="BG31" s="327">
        <f t="shared" si="32"/>
        <v>1596011.3000238435</v>
      </c>
      <c r="BH31" s="68">
        <f>AQ31-AX31</f>
        <v>-541872.74084960064</v>
      </c>
      <c r="BI31" s="322">
        <f t="shared" si="34"/>
        <v>2137884.0408734442</v>
      </c>
      <c r="BJ31" s="323">
        <f t="shared" si="35"/>
        <v>23086445.324094635</v>
      </c>
    </row>
    <row r="32" spans="1:62">
      <c r="A32" s="43"/>
      <c r="E32" s="2"/>
      <c r="F32" s="10"/>
      <c r="G32" s="10"/>
      <c r="H32" s="10"/>
      <c r="I32" s="31"/>
      <c r="J32" s="10"/>
      <c r="K32" s="9"/>
      <c r="L32" s="9"/>
      <c r="M32" s="17"/>
      <c r="N32" s="11"/>
      <c r="O32" s="11"/>
      <c r="P32" s="11"/>
      <c r="Q32" s="11"/>
      <c r="R32" s="10">
        <f>SUM(P31:R31)</f>
        <v>603913047.92197013</v>
      </c>
      <c r="S32" s="10">
        <f>R32-R31</f>
        <v>209240757.64199317</v>
      </c>
      <c r="T32" s="7"/>
      <c r="U32" s="7"/>
      <c r="V32" s="443">
        <f>(V31/V12)^(1/19)-1</f>
        <v>2.763985502812849E-2</v>
      </c>
      <c r="W32" s="443">
        <f>(W31/W12)^(1/19)-1</f>
        <v>2.763985502812849E-2</v>
      </c>
      <c r="X32" s="443"/>
      <c r="Y32" s="443"/>
      <c r="Z32" s="7"/>
      <c r="AM32" s="214">
        <f>(G32)/1000</f>
        <v>0</v>
      </c>
      <c r="AV32" s="443">
        <f>(AV31/AV12)^(1/19)-1</f>
        <v>0.1327601419137272</v>
      </c>
      <c r="BI32" s="30">
        <f>R59/1000</f>
        <v>1829382.2471334175</v>
      </c>
      <c r="BJ32" s="30">
        <f>T59/1000</f>
        <v>22653256.628979325</v>
      </c>
    </row>
    <row r="33" spans="1:54">
      <c r="A33" s="43"/>
      <c r="B33" s="21"/>
      <c r="E33" s="2"/>
      <c r="F33" s="33" t="s">
        <v>29</v>
      </c>
      <c r="G33" s="124">
        <v>14</v>
      </c>
      <c r="I33" t="s">
        <v>159</v>
      </c>
      <c r="J33" s="191">
        <v>250000</v>
      </c>
      <c r="K33" s="192" t="s">
        <v>133</v>
      </c>
      <c r="L33" s="291">
        <v>0.48799999999999999</v>
      </c>
      <c r="M33" s="17"/>
      <c r="N33" s="11"/>
      <c r="O33" s="21"/>
      <c r="Q33" s="11"/>
      <c r="R33" s="10"/>
      <c r="S33" s="10"/>
      <c r="T33" s="7"/>
      <c r="U33" s="7"/>
      <c r="V33" s="10"/>
      <c r="W33" s="7"/>
      <c r="X33" s="7"/>
      <c r="Y33" s="7"/>
      <c r="Z33" s="7"/>
    </row>
    <row r="34" spans="1:54" ht="16" thickBot="1">
      <c r="A34" s="6"/>
      <c r="E34" s="2"/>
      <c r="F34" s="10"/>
      <c r="G34" s="10"/>
      <c r="H34" s="10"/>
      <c r="I34" s="31"/>
      <c r="J34" s="10"/>
      <c r="K34" s="9"/>
      <c r="L34" s="9" t="s">
        <v>199</v>
      </c>
      <c r="M34" s="360">
        <v>6.6625000000000004E-2</v>
      </c>
      <c r="N34" s="11"/>
      <c r="O34" s="11"/>
      <c r="P34" s="11"/>
      <c r="Q34" s="11"/>
      <c r="W34" s="7"/>
      <c r="X34" s="7"/>
      <c r="Y34" s="7"/>
      <c r="Z34" s="7"/>
    </row>
    <row r="35" spans="1:54" ht="56" customHeight="1" thickBot="1">
      <c r="A35" s="7"/>
      <c r="B35" s="475" t="s">
        <v>60</v>
      </c>
      <c r="C35" s="476"/>
      <c r="D35" s="477"/>
      <c r="F35" s="475" t="s">
        <v>64</v>
      </c>
      <c r="G35" s="476"/>
      <c r="H35" s="476"/>
      <c r="I35" s="476"/>
      <c r="J35" s="476"/>
      <c r="K35" s="476"/>
      <c r="L35" s="476"/>
      <c r="M35" s="477"/>
      <c r="O35" s="470" t="s">
        <v>58</v>
      </c>
      <c r="P35" s="471"/>
      <c r="R35" s="472" t="s">
        <v>57</v>
      </c>
      <c r="S35" s="473"/>
      <c r="T35" s="474"/>
      <c r="U35" s="10"/>
      <c r="V35" s="95" t="s">
        <v>132</v>
      </c>
      <c r="Z35" s="95"/>
    </row>
    <row r="36" spans="1:54" ht="43.5" customHeight="1" thickBot="1">
      <c r="A36" s="7"/>
      <c r="B36" s="133" t="s">
        <v>15</v>
      </c>
      <c r="C36" s="468" t="s">
        <v>13</v>
      </c>
      <c r="D36" s="469"/>
      <c r="F36" s="131" t="s">
        <v>36</v>
      </c>
      <c r="G36" s="132" t="s">
        <v>35</v>
      </c>
      <c r="H36" s="132" t="s">
        <v>38</v>
      </c>
      <c r="I36" s="132" t="s">
        <v>37</v>
      </c>
      <c r="J36" s="136" t="s">
        <v>39</v>
      </c>
      <c r="K36" s="484" t="s">
        <v>23</v>
      </c>
      <c r="L36" s="485"/>
      <c r="M36" s="486"/>
      <c r="O36" s="134" t="s">
        <v>28</v>
      </c>
      <c r="P36" s="166" t="s">
        <v>14</v>
      </c>
      <c r="R36" s="487" t="s">
        <v>59</v>
      </c>
      <c r="S36" s="488"/>
      <c r="T36" s="489"/>
      <c r="U36" s="10"/>
      <c r="V36" s="10"/>
      <c r="AC36" s="490" t="s">
        <v>126</v>
      </c>
      <c r="AD36" s="491"/>
      <c r="AE36" s="491"/>
      <c r="AF36" s="491"/>
      <c r="AG36" s="492"/>
      <c r="AH36" s="436"/>
    </row>
    <row r="37" spans="1:54" ht="113" thickBot="1">
      <c r="A37" s="104" t="s">
        <v>1</v>
      </c>
      <c r="B37" s="101" t="s">
        <v>53</v>
      </c>
      <c r="C37" s="92">
        <v>5.0000000000000001E-3</v>
      </c>
      <c r="D37" s="137" t="s">
        <v>61</v>
      </c>
      <c r="E37" s="104" t="s">
        <v>1</v>
      </c>
      <c r="F37" s="141" t="s">
        <v>21</v>
      </c>
      <c r="G37" s="140" t="s">
        <v>21</v>
      </c>
      <c r="H37" s="140" t="s">
        <v>21</v>
      </c>
      <c r="I37" s="140" t="s">
        <v>21</v>
      </c>
      <c r="J37" s="140" t="s">
        <v>22</v>
      </c>
      <c r="K37" s="141" t="s">
        <v>21</v>
      </c>
      <c r="L37" s="140" t="s">
        <v>24</v>
      </c>
      <c r="M37" s="361" t="s">
        <v>200</v>
      </c>
      <c r="O37" s="106" t="s">
        <v>17</v>
      </c>
      <c r="P37" s="15" t="s">
        <v>54</v>
      </c>
      <c r="R37" s="115" t="s">
        <v>55</v>
      </c>
      <c r="S37" s="37"/>
      <c r="T37" s="142" t="s">
        <v>56</v>
      </c>
      <c r="U37" s="10"/>
      <c r="V37" s="259" t="s">
        <v>202</v>
      </c>
      <c r="W37" s="193" t="s">
        <v>1</v>
      </c>
      <c r="X37" s="193"/>
      <c r="Y37" s="193"/>
      <c r="Z37" s="252" t="s">
        <v>111</v>
      </c>
      <c r="AA37" s="253" t="s">
        <v>110</v>
      </c>
      <c r="AB37" s="254" t="s">
        <v>94</v>
      </c>
      <c r="AC37" s="255" t="s">
        <v>127</v>
      </c>
      <c r="AD37" s="255" t="s">
        <v>128</v>
      </c>
      <c r="AE37" s="255" t="s">
        <v>129</v>
      </c>
      <c r="AF37" s="255" t="s">
        <v>130</v>
      </c>
      <c r="AG37" s="256" t="s">
        <v>131</v>
      </c>
      <c r="AH37" s="241"/>
      <c r="AI37" s="241" t="s">
        <v>195</v>
      </c>
    </row>
    <row r="38" spans="1:54" ht="16" thickBot="1">
      <c r="A38" s="135">
        <v>2019</v>
      </c>
      <c r="B38" s="102">
        <v>10010000000</v>
      </c>
      <c r="C38" s="93">
        <f>B38</f>
        <v>10010000000</v>
      </c>
      <c r="D38" s="126">
        <f>C38+J38+M38+V38</f>
        <v>10484935133.157005</v>
      </c>
      <c r="E38" s="146">
        <v>2019</v>
      </c>
      <c r="F38" s="99">
        <v>747</v>
      </c>
      <c r="G38" s="32">
        <v>1</v>
      </c>
      <c r="H38" s="32">
        <f>(L68+M68)*0.46</f>
        <v>0</v>
      </c>
      <c r="I38" s="32">
        <f>F38+G38+H38</f>
        <v>748</v>
      </c>
      <c r="J38" s="9">
        <f>I38*$J$33</f>
        <v>187000000</v>
      </c>
      <c r="K38" s="4">
        <v>0</v>
      </c>
      <c r="L38" s="10">
        <f>K38*0.35*8766</f>
        <v>0</v>
      </c>
      <c r="M38" s="96">
        <f>L38*50</f>
        <v>0</v>
      </c>
      <c r="O38" s="107">
        <v>0.09</v>
      </c>
      <c r="P38" s="90">
        <f t="shared" ref="P38:P59" si="47">O38*D38</f>
        <v>943644161.9841305</v>
      </c>
      <c r="R38" s="237">
        <f>$P38-($H10-(SUM($P10:$R10)))</f>
        <v>562954123.47083569</v>
      </c>
      <c r="S38" s="39"/>
      <c r="T38" s="143">
        <f>R38</f>
        <v>562954123.47083569</v>
      </c>
      <c r="U38" s="10"/>
      <c r="V38" s="238">
        <f>AB38+AG38+(1+$M$34)*P68</f>
        <v>287935133.15700495</v>
      </c>
      <c r="W38" s="258">
        <v>2019</v>
      </c>
      <c r="X38" s="194"/>
      <c r="Y38" s="194"/>
      <c r="Z38" s="242">
        <f>C38/O10/1000</f>
        <v>0.13442924638924186</v>
      </c>
      <c r="AA38" s="243"/>
      <c r="AB38" s="238">
        <f>(300*8766*0.8)*60*1.02^(W38-2019)*1.06625</f>
        <v>134593164</v>
      </c>
      <c r="AC38" s="17">
        <f>T10</f>
        <v>1629555.7836000002</v>
      </c>
      <c r="AD38" s="244">
        <v>0</v>
      </c>
      <c r="AE38" s="17">
        <f>AC38-AD38</f>
        <v>1629555.7836000002</v>
      </c>
      <c r="AF38" s="245">
        <f>Z38*(1-$W$2)</f>
        <v>9.4100472472469304E-2</v>
      </c>
      <c r="AG38" s="238">
        <f>AF38*AE38*1000</f>
        <v>153341969.15700495</v>
      </c>
      <c r="AH38" s="257"/>
      <c r="AI38" t="s">
        <v>201</v>
      </c>
      <c r="AJ38" s="53" t="s">
        <v>196</v>
      </c>
      <c r="AK38" s="68">
        <v>71363668.58100003</v>
      </c>
      <c r="AL38" s="39"/>
      <c r="AM38" s="39"/>
      <c r="AN38" s="39"/>
      <c r="AO38" s="53"/>
      <c r="AP38" s="53"/>
      <c r="AQ38" s="53"/>
      <c r="AR38" s="39"/>
      <c r="AS38" s="32"/>
      <c r="AT38" s="39"/>
      <c r="AU38" s="53"/>
      <c r="AV38" s="53"/>
      <c r="AW38" s="32"/>
      <c r="AX38" s="53"/>
      <c r="AY38" s="53"/>
      <c r="AZ38" s="53"/>
      <c r="BA38" s="54"/>
      <c r="BB38" s="32"/>
    </row>
    <row r="39" spans="1:54" ht="16" thickBot="1">
      <c r="A39" s="6">
        <v>2020</v>
      </c>
      <c r="B39" s="103">
        <v>9837000000</v>
      </c>
      <c r="C39" s="28">
        <f>B39</f>
        <v>9837000000</v>
      </c>
      <c r="D39" s="90">
        <f t="shared" ref="D39:D59" si="48">C39+J39+M39+V39</f>
        <v>10361994210.127817</v>
      </c>
      <c r="E39" s="6">
        <v>2020</v>
      </c>
      <c r="F39" s="99">
        <v>817</v>
      </c>
      <c r="G39" s="32">
        <v>9</v>
      </c>
      <c r="H39" s="32">
        <f>(L69+M69)*0.46</f>
        <v>0</v>
      </c>
      <c r="I39" s="32">
        <f t="shared" ref="I39:I59" si="49">F39+G39+H39</f>
        <v>826</v>
      </c>
      <c r="J39" s="9">
        <f t="shared" ref="J39:J59" si="50">I39*$J$33</f>
        <v>206500000</v>
      </c>
      <c r="K39" s="4">
        <v>0</v>
      </c>
      <c r="L39" s="10">
        <f>K39*0.35*8766</f>
        <v>0</v>
      </c>
      <c r="M39" s="96">
        <f>L39*50</f>
        <v>0</v>
      </c>
      <c r="O39" s="107">
        <v>0.09</v>
      </c>
      <c r="P39" s="90">
        <f t="shared" si="47"/>
        <v>932579478.91150355</v>
      </c>
      <c r="R39" s="237">
        <f>$P39-($H11-(SUM($P11:$R11)))</f>
        <v>456113632.64406389</v>
      </c>
      <c r="S39" s="39"/>
      <c r="T39" s="144">
        <f>T38+R39</f>
        <v>1019067756.1148996</v>
      </c>
      <c r="U39" s="10"/>
      <c r="V39" s="238">
        <f t="shared" ref="V39:V59" si="51">AB39+AG39+(1+$M$34)*P69</f>
        <v>318494210.12781775</v>
      </c>
      <c r="W39" s="194">
        <v>2020</v>
      </c>
      <c r="X39" s="194"/>
      <c r="Y39" s="194"/>
      <c r="Z39" s="242">
        <f>C39/O11/1000</f>
        <v>0.1372054112854596</v>
      </c>
      <c r="AA39" s="243"/>
      <c r="AB39" s="238">
        <f t="shared" ref="AB39:AB59" si="52">(300*8766*0.8)*60*1.02^(W39-2019)*1.06625</f>
        <v>137285027.28</v>
      </c>
      <c r="AC39" s="17">
        <f>T11</f>
        <v>1886735.0696</v>
      </c>
      <c r="AD39" s="244">
        <f>AD38</f>
        <v>0</v>
      </c>
      <c r="AE39" s="17">
        <f t="shared" ref="AE39:AE59" si="53">AC39-AD39</f>
        <v>1886735.0696</v>
      </c>
      <c r="AF39" s="245">
        <f>Z39*(1-$W$2)</f>
        <v>9.6043787899821709E-2</v>
      </c>
      <c r="AG39" s="238">
        <f t="shared" ref="AG39:AG59" si="54">AF39*AE39*1000</f>
        <v>181209182.84781775</v>
      </c>
      <c r="AH39" s="257"/>
      <c r="AJ39" s="53" t="s">
        <v>197</v>
      </c>
      <c r="AK39" s="357">
        <v>71693471</v>
      </c>
      <c r="AL39" s="39"/>
      <c r="AM39" s="39"/>
      <c r="AN39" s="39"/>
      <c r="AO39" s="53"/>
      <c r="AP39" s="53"/>
      <c r="AQ39" s="53"/>
      <c r="AR39" s="39"/>
      <c r="AS39" s="32"/>
      <c r="AT39" s="39"/>
      <c r="AU39" s="53"/>
      <c r="AV39" s="53"/>
      <c r="AW39" s="32"/>
      <c r="AX39" s="53"/>
      <c r="AY39" s="53"/>
      <c r="AZ39" s="53"/>
      <c r="BA39" s="54"/>
      <c r="BB39" s="32"/>
    </row>
    <row r="40" spans="1:54">
      <c r="A40" s="6">
        <v>2021</v>
      </c>
      <c r="B40" s="82"/>
      <c r="C40" s="198">
        <f t="shared" ref="C40:C59" si="55">O12*Z40*1000</f>
        <v>9955466035.0765247</v>
      </c>
      <c r="D40" s="90">
        <f t="shared" si="48"/>
        <v>10489152232.429914</v>
      </c>
      <c r="E40" s="6">
        <v>2021</v>
      </c>
      <c r="F40" s="99">
        <v>712</v>
      </c>
      <c r="G40" s="32">
        <v>75</v>
      </c>
      <c r="H40" s="32">
        <f>(L70+M70)*0.46</f>
        <v>0</v>
      </c>
      <c r="I40" s="32">
        <f t="shared" si="49"/>
        <v>787</v>
      </c>
      <c r="J40" s="9">
        <f t="shared" si="50"/>
        <v>196750000</v>
      </c>
      <c r="K40" s="4">
        <v>0</v>
      </c>
      <c r="L40" s="10">
        <f>K40*0.35*8766</f>
        <v>0</v>
      </c>
      <c r="M40" s="96">
        <f>L40*50</f>
        <v>0</v>
      </c>
      <c r="O40" s="107">
        <v>0.09</v>
      </c>
      <c r="P40" s="90">
        <f t="shared" si="47"/>
        <v>944023700.91869223</v>
      </c>
      <c r="R40" s="236">
        <f t="shared" ref="R40:R59" si="56">$P40-($H12-(SUM($P12:$R12)))</f>
        <v>417159794.03335708</v>
      </c>
      <c r="S40" s="39"/>
      <c r="T40" s="144">
        <f t="shared" ref="T40:T58" si="57">T39+R40</f>
        <v>1436227550.1482568</v>
      </c>
      <c r="U40" s="10"/>
      <c r="V40" s="238">
        <f t="shared" si="51"/>
        <v>336936197.35338926</v>
      </c>
      <c r="W40" s="194">
        <v>2021</v>
      </c>
      <c r="X40" s="194"/>
      <c r="Y40" s="194"/>
      <c r="Z40" s="246">
        <f>Z39*(1+AA40)</f>
        <v>0.13816692808005299</v>
      </c>
      <c r="AA40" s="247">
        <f>'EIA Escalation'!E16</f>
        <v>7.0078635061479044E-3</v>
      </c>
      <c r="AB40" s="238">
        <f t="shared" si="52"/>
        <v>140030727.8256</v>
      </c>
      <c r="AC40" s="17">
        <f t="shared" ref="AC40:AC59" si="58">T12</f>
        <v>2035896.2293340003</v>
      </c>
      <c r="AD40" s="244">
        <f t="shared" ref="AD40:AD59" si="59">AD39</f>
        <v>0</v>
      </c>
      <c r="AE40" s="17">
        <f t="shared" si="53"/>
        <v>2035896.2293340003</v>
      </c>
      <c r="AF40" s="245">
        <f>Z40*(1-$W$2)</f>
        <v>9.6716849656037079E-2</v>
      </c>
      <c r="AG40" s="238">
        <f t="shared" si="54"/>
        <v>196905469.52778929</v>
      </c>
      <c r="AH40" s="257"/>
      <c r="AJ40" s="53" t="s">
        <v>198</v>
      </c>
      <c r="AK40" s="358">
        <f>AK39/AK38</f>
        <v>1.0046214330843382</v>
      </c>
      <c r="AL40" s="39"/>
      <c r="AM40" s="39"/>
      <c r="AN40" s="39"/>
      <c r="AO40" s="53"/>
      <c r="AP40" s="53"/>
      <c r="AQ40" s="53"/>
      <c r="AR40" s="39"/>
      <c r="AS40" s="32"/>
      <c r="AT40" s="39"/>
      <c r="AU40" s="53"/>
      <c r="AV40" s="53"/>
      <c r="AW40" s="32"/>
      <c r="AX40" s="53"/>
      <c r="AY40" s="53"/>
      <c r="AZ40" s="53"/>
      <c r="BA40" s="54"/>
      <c r="BB40" s="32"/>
    </row>
    <row r="41" spans="1:54">
      <c r="A41" s="6">
        <v>2022</v>
      </c>
      <c r="B41" s="82"/>
      <c r="C41" s="198">
        <f t="shared" si="55"/>
        <v>10289952849.080948</v>
      </c>
      <c r="D41" s="90">
        <f t="shared" si="48"/>
        <v>10861396016.943424</v>
      </c>
      <c r="E41" s="6">
        <v>2022</v>
      </c>
      <c r="F41" s="99">
        <v>573</v>
      </c>
      <c r="G41" s="32">
        <v>75</v>
      </c>
      <c r="H41" s="32">
        <f>(L71+M71)*0.46</f>
        <v>184</v>
      </c>
      <c r="I41" s="32">
        <f t="shared" si="49"/>
        <v>832</v>
      </c>
      <c r="J41" s="9">
        <f t="shared" si="50"/>
        <v>208000000</v>
      </c>
      <c r="K41" s="4">
        <v>0</v>
      </c>
      <c r="L41" s="10">
        <f>K41*0.35*8766</f>
        <v>0</v>
      </c>
      <c r="M41" s="96">
        <f>L41*50</f>
        <v>0</v>
      </c>
      <c r="O41" s="107">
        <v>7.0000000000000007E-2</v>
      </c>
      <c r="P41" s="90">
        <f t="shared" si="47"/>
        <v>760297721.18603981</v>
      </c>
      <c r="R41" s="236">
        <f t="shared" si="56"/>
        <v>252648477.50187325</v>
      </c>
      <c r="S41" s="39"/>
      <c r="T41" s="144">
        <f t="shared" si="57"/>
        <v>1688876027.65013</v>
      </c>
      <c r="U41" s="10"/>
      <c r="V41" s="238">
        <f t="shared" si="51"/>
        <v>363443167.86247575</v>
      </c>
      <c r="W41" s="194">
        <v>2022</v>
      </c>
      <c r="X41" s="194"/>
      <c r="Y41" s="194"/>
      <c r="Z41" s="246">
        <f t="shared" ref="Z41:Z59" si="60">Z40*(1+AA41)</f>
        <v>0.1420986100331911</v>
      </c>
      <c r="AA41" s="247">
        <f>'EIA Escalation'!E17</f>
        <v>2.8456027848141163E-2</v>
      </c>
      <c r="AB41" s="238">
        <f t="shared" si="52"/>
        <v>142831342.38211197</v>
      </c>
      <c r="AC41" s="17">
        <f t="shared" si="58"/>
        <v>2217894.6761873299</v>
      </c>
      <c r="AD41" s="244">
        <f t="shared" si="59"/>
        <v>0</v>
      </c>
      <c r="AE41" s="17">
        <f t="shared" si="53"/>
        <v>2217894.6761873299</v>
      </c>
      <c r="AF41" s="245">
        <f>Z41*(1-$W$2)</f>
        <v>9.9469027023233764E-2</v>
      </c>
      <c r="AG41" s="238">
        <f t="shared" si="54"/>
        <v>220611825.48036382</v>
      </c>
      <c r="AH41" s="257"/>
      <c r="AJ41" s="53"/>
      <c r="AK41" s="39"/>
      <c r="AL41" s="39"/>
      <c r="AM41" s="39"/>
      <c r="AN41" s="39"/>
      <c r="AO41" s="53"/>
      <c r="AP41" s="53"/>
      <c r="AQ41" s="53"/>
      <c r="AR41" s="39"/>
      <c r="AS41" s="32"/>
      <c r="AT41" s="39"/>
      <c r="AU41" s="53"/>
      <c r="AV41" s="53"/>
      <c r="AW41" s="32"/>
      <c r="AX41" s="53"/>
      <c r="AY41" s="53"/>
      <c r="AZ41" s="53"/>
      <c r="BA41" s="54"/>
      <c r="BB41" s="32"/>
    </row>
    <row r="42" spans="1:54">
      <c r="A42" s="6">
        <v>2023</v>
      </c>
      <c r="B42" s="82"/>
      <c r="C42" s="198">
        <f t="shared" si="55"/>
        <v>10574524892.416653</v>
      </c>
      <c r="D42" s="90">
        <f t="shared" si="48"/>
        <v>11263599697.530249</v>
      </c>
      <c r="E42" s="6">
        <v>2023</v>
      </c>
      <c r="F42" s="99">
        <v>511</v>
      </c>
      <c r="G42" s="32">
        <v>75</v>
      </c>
      <c r="H42" s="32">
        <f t="shared" ref="H42:H59" si="61">H41+((L72+M72)*0.46)</f>
        <v>377.20000000000005</v>
      </c>
      <c r="I42" s="32">
        <f t="shared" si="49"/>
        <v>963.2</v>
      </c>
      <c r="J42" s="9">
        <f t="shared" si="50"/>
        <v>240800000</v>
      </c>
      <c r="K42" s="4">
        <v>0</v>
      </c>
      <c r="L42" s="10">
        <f>K42*0.35*8766</f>
        <v>0</v>
      </c>
      <c r="M42" s="96">
        <f>L42*50</f>
        <v>0</v>
      </c>
      <c r="O42" s="107">
        <v>7.0000000000000007E-2</v>
      </c>
      <c r="P42" s="90">
        <f t="shared" si="47"/>
        <v>788451978.82711744</v>
      </c>
      <c r="R42" s="236">
        <f t="shared" si="56"/>
        <v>261842699.9216435</v>
      </c>
      <c r="S42" s="39"/>
      <c r="T42" s="144">
        <f t="shared" si="57"/>
        <v>1950718727.5717735</v>
      </c>
      <c r="U42" s="10"/>
      <c r="V42" s="238">
        <f t="shared" si="51"/>
        <v>448274805.11359513</v>
      </c>
      <c r="W42" s="194">
        <v>2023</v>
      </c>
      <c r="X42" s="194"/>
      <c r="Y42" s="194"/>
      <c r="Z42" s="246">
        <f t="shared" si="60"/>
        <v>0.14530188458550503</v>
      </c>
      <c r="AA42" s="247">
        <f>'EIA Escalation'!E18</f>
        <v>2.2542617071100945E-2</v>
      </c>
      <c r="AB42" s="238">
        <f t="shared" si="52"/>
        <v>145687969.22975424</v>
      </c>
      <c r="AC42" s="17">
        <f t="shared" si="58"/>
        <v>2317590.1260063932</v>
      </c>
      <c r="AD42" s="244">
        <f t="shared" si="59"/>
        <v>0</v>
      </c>
      <c r="AE42" s="17">
        <f t="shared" si="53"/>
        <v>2317590.1260063932</v>
      </c>
      <c r="AF42" s="245">
        <f>Z42*(1-$W$2)</f>
        <v>0.10171131920985352</v>
      </c>
      <c r="AG42" s="238">
        <f t="shared" si="54"/>
        <v>235725149.10384089</v>
      </c>
      <c r="AH42" s="257"/>
      <c r="AJ42" s="53"/>
      <c r="AK42" s="39"/>
      <c r="AL42" s="39"/>
      <c r="AM42" s="39"/>
      <c r="AN42" s="39"/>
      <c r="AO42" s="53"/>
      <c r="AP42" s="53"/>
      <c r="AQ42" s="53"/>
      <c r="AR42" s="39"/>
      <c r="AS42" s="32"/>
      <c r="AT42" s="39"/>
      <c r="AU42" s="53"/>
      <c r="AV42" s="53"/>
      <c r="AW42" s="32"/>
      <c r="AX42" s="53"/>
      <c r="AY42" s="53"/>
      <c r="AZ42" s="53"/>
      <c r="BA42" s="54"/>
      <c r="BB42" s="32"/>
    </row>
    <row r="43" spans="1:54">
      <c r="A43" s="6">
        <v>2024</v>
      </c>
      <c r="B43" s="82"/>
      <c r="C43" s="198">
        <f t="shared" si="55"/>
        <v>10959816484.422218</v>
      </c>
      <c r="D43" s="90">
        <f t="shared" si="48"/>
        <v>11862452197.007477</v>
      </c>
      <c r="E43" s="6">
        <v>2024</v>
      </c>
      <c r="F43" s="99">
        <v>492</v>
      </c>
      <c r="G43" s="32">
        <v>75</v>
      </c>
      <c r="H43" s="32">
        <f t="shared" si="61"/>
        <v>580.06000000000006</v>
      </c>
      <c r="I43" s="32">
        <f t="shared" si="49"/>
        <v>1147.06</v>
      </c>
      <c r="J43" s="9">
        <f t="shared" si="50"/>
        <v>286765000</v>
      </c>
      <c r="K43" s="4">
        <v>350</v>
      </c>
      <c r="L43" s="10">
        <f>K43*$L$33*8766</f>
        <v>1497232.7999999998</v>
      </c>
      <c r="M43" s="96">
        <f>(L43*50)*(1+$M$34)</f>
        <v>79849296.764999986</v>
      </c>
      <c r="O43" s="107">
        <v>7.0000000000000007E-2</v>
      </c>
      <c r="P43" s="90">
        <f t="shared" si="47"/>
        <v>830371653.79052341</v>
      </c>
      <c r="R43" s="236">
        <f t="shared" si="56"/>
        <v>334538616.470209</v>
      </c>
      <c r="S43" s="39"/>
      <c r="T43" s="144">
        <f>T42+R43</f>
        <v>2285257344.0419827</v>
      </c>
      <c r="U43" s="10"/>
      <c r="V43" s="238">
        <f t="shared" si="51"/>
        <v>536021415.82025886</v>
      </c>
      <c r="W43" s="194">
        <v>2024</v>
      </c>
      <c r="X43" s="194"/>
      <c r="Y43" s="194"/>
      <c r="Z43" s="246">
        <f t="shared" si="60"/>
        <v>0.14984684513481381</v>
      </c>
      <c r="AA43" s="247">
        <f>'EIA Escalation'!E19</f>
        <v>3.1279432901190063E-2</v>
      </c>
      <c r="AB43" s="238">
        <f t="shared" si="52"/>
        <v>148601728.61434931</v>
      </c>
      <c r="AC43" s="17">
        <f t="shared" si="58"/>
        <v>2312784.9257763615</v>
      </c>
      <c r="AD43" s="244">
        <f t="shared" si="59"/>
        <v>0</v>
      </c>
      <c r="AE43" s="17">
        <f t="shared" si="53"/>
        <v>2312784.9257763615</v>
      </c>
      <c r="AF43" s="245">
        <f>Z43*(1-$W$2)</f>
        <v>0.10489279159436966</v>
      </c>
      <c r="AG43" s="238">
        <f t="shared" si="54"/>
        <v>242594467.22205961</v>
      </c>
      <c r="AH43" s="257"/>
      <c r="AJ43" s="53"/>
      <c r="AK43" s="39"/>
      <c r="AL43" s="39"/>
      <c r="AM43" s="39"/>
      <c r="AN43" s="39"/>
      <c r="AO43" s="53"/>
      <c r="AP43" s="53"/>
      <c r="AQ43" s="53"/>
      <c r="AR43" s="39"/>
      <c r="AS43" s="32"/>
      <c r="AT43" s="39"/>
      <c r="AU43" s="53"/>
      <c r="AV43" s="53"/>
      <c r="AW43" s="32"/>
      <c r="AX43" s="53"/>
      <c r="AY43" s="53"/>
      <c r="AZ43" s="53"/>
      <c r="BA43" s="54"/>
      <c r="BB43" s="32"/>
    </row>
    <row r="44" spans="1:54">
      <c r="A44" s="6">
        <v>2025</v>
      </c>
      <c r="B44" s="82"/>
      <c r="C44" s="198">
        <f t="shared" si="55"/>
        <v>11399468552.592411</v>
      </c>
      <c r="D44" s="90">
        <f t="shared" si="48"/>
        <v>12543825981.618149</v>
      </c>
      <c r="E44" s="6">
        <v>2025</v>
      </c>
      <c r="F44" s="99">
        <v>473</v>
      </c>
      <c r="G44" s="32">
        <v>75</v>
      </c>
      <c r="H44" s="32">
        <f>H43+((L74+M74)*0.46)</f>
        <v>793.04000000000008</v>
      </c>
      <c r="I44" s="32">
        <f t="shared" si="49"/>
        <v>1341.04</v>
      </c>
      <c r="J44" s="9">
        <f t="shared" si="50"/>
        <v>335260000</v>
      </c>
      <c r="K44" s="4">
        <f>K43+350</f>
        <v>700</v>
      </c>
      <c r="L44" s="10">
        <f t="shared" ref="L44:L59" si="62">K44*$L$33*8766</f>
        <v>2994465.5999999996</v>
      </c>
      <c r="M44" s="96">
        <f t="shared" ref="M44:M59" si="63">(L44*50)*(1+$M$34)</f>
        <v>159698593.52999997</v>
      </c>
      <c r="O44" s="107">
        <v>7.0000000000000007E-2</v>
      </c>
      <c r="P44" s="90">
        <f t="shared" si="47"/>
        <v>878067818.71327055</v>
      </c>
      <c r="R44" s="236">
        <f t="shared" si="56"/>
        <v>416257474.92076862</v>
      </c>
      <c r="S44" s="39"/>
      <c r="T44" s="144">
        <f t="shared" si="57"/>
        <v>2701514818.9627514</v>
      </c>
      <c r="U44" s="39"/>
      <c r="V44" s="238">
        <f t="shared" si="51"/>
        <v>649398835.49573731</v>
      </c>
      <c r="W44" s="194">
        <v>2025</v>
      </c>
      <c r="X44" s="194"/>
      <c r="Y44" s="194"/>
      <c r="Z44" s="246">
        <f t="shared" si="60"/>
        <v>0.15508252543659901</v>
      </c>
      <c r="AA44" s="247">
        <f>'EIA Escalation'!E20</f>
        <v>3.4940210433358043E-2</v>
      </c>
      <c r="AB44" s="238">
        <f t="shared" si="52"/>
        <v>151573763.18663633</v>
      </c>
      <c r="AC44" s="17">
        <f t="shared" si="58"/>
        <v>2301221.0011474793</v>
      </c>
      <c r="AD44" s="244">
        <f t="shared" si="59"/>
        <v>0</v>
      </c>
      <c r="AE44" s="17">
        <f t="shared" si="53"/>
        <v>2301221.0011474793</v>
      </c>
      <c r="AF44" s="245">
        <f>Z44*(1-$W$2)</f>
        <v>0.10855776780561929</v>
      </c>
      <c r="AG44" s="238">
        <f t="shared" si="54"/>
        <v>249815415.11198282</v>
      </c>
      <c r="AH44" s="257"/>
      <c r="AJ44" s="53"/>
      <c r="AK44" s="39"/>
      <c r="AL44" s="39"/>
      <c r="AM44" s="39"/>
      <c r="AN44" s="39"/>
      <c r="AO44" s="53"/>
      <c r="AP44" s="53"/>
      <c r="AQ44" s="53"/>
      <c r="AR44" s="39"/>
      <c r="AS44" s="32"/>
      <c r="AT44" s="39"/>
      <c r="AU44" s="53"/>
      <c r="AV44" s="53"/>
      <c r="AW44" s="32"/>
      <c r="AX44" s="53"/>
      <c r="AY44" s="53"/>
      <c r="AZ44" s="53"/>
      <c r="BA44" s="54"/>
      <c r="BB44" s="32"/>
    </row>
    <row r="45" spans="1:54">
      <c r="A45" s="6">
        <v>2026</v>
      </c>
      <c r="B45" s="82"/>
      <c r="C45" s="198">
        <f t="shared" si="55"/>
        <v>11801345428.97788</v>
      </c>
      <c r="D45" s="90">
        <f t="shared" si="48"/>
        <v>13176095236.465609</v>
      </c>
      <c r="E45" s="6">
        <v>2026</v>
      </c>
      <c r="F45" s="99">
        <v>435</v>
      </c>
      <c r="G45" s="32">
        <v>75</v>
      </c>
      <c r="H45" s="32">
        <f t="shared" si="61"/>
        <v>1017.0600000000001</v>
      </c>
      <c r="I45" s="32">
        <f>F45+G45+H45</f>
        <v>1527.06</v>
      </c>
      <c r="J45" s="9">
        <f t="shared" si="50"/>
        <v>381765000</v>
      </c>
      <c r="K45" s="4">
        <f>K44+350</f>
        <v>1050</v>
      </c>
      <c r="L45" s="10">
        <f t="shared" si="62"/>
        <v>4491698.3999999994</v>
      </c>
      <c r="M45" s="96">
        <f t="shared" si="63"/>
        <v>239547890.29499996</v>
      </c>
      <c r="O45" s="107">
        <v>7.0000000000000007E-2</v>
      </c>
      <c r="P45" s="90">
        <f t="shared" si="47"/>
        <v>922326666.55259264</v>
      </c>
      <c r="R45" s="236">
        <f t="shared" si="56"/>
        <v>520260346.39848721</v>
      </c>
      <c r="S45" s="39"/>
      <c r="T45" s="144">
        <f t="shared" si="57"/>
        <v>3221775165.3612385</v>
      </c>
      <c r="U45" s="39"/>
      <c r="V45" s="238">
        <f t="shared" si="51"/>
        <v>753436917.19272733</v>
      </c>
      <c r="W45" s="194">
        <v>2026</v>
      </c>
      <c r="X45" s="194"/>
      <c r="Y45" s="194"/>
      <c r="Z45" s="246">
        <f t="shared" si="60"/>
        <v>0.15975104970351611</v>
      </c>
      <c r="AA45" s="247">
        <f>'EIA Escalation'!E21</f>
        <v>3.0103483637334172E-2</v>
      </c>
      <c r="AB45" s="238">
        <f t="shared" si="52"/>
        <v>154605238.450369</v>
      </c>
      <c r="AC45" s="17">
        <f t="shared" si="58"/>
        <v>2289714.8961417424</v>
      </c>
      <c r="AD45" s="244">
        <f t="shared" si="59"/>
        <v>0</v>
      </c>
      <c r="AE45" s="17">
        <f t="shared" si="53"/>
        <v>2289714.8961417424</v>
      </c>
      <c r="AF45" s="245">
        <f>Z45*(1-$W$2)</f>
        <v>0.11182573479246127</v>
      </c>
      <c r="AG45" s="238">
        <f t="shared" si="54"/>
        <v>256049050.72629449</v>
      </c>
      <c r="AH45" s="257"/>
      <c r="AJ45" s="53"/>
      <c r="AK45" s="39"/>
      <c r="AL45" s="39"/>
      <c r="AM45" s="39"/>
      <c r="AN45" s="39"/>
      <c r="AO45" s="53"/>
      <c r="AP45" s="53"/>
      <c r="AQ45" s="53"/>
      <c r="AR45" s="39"/>
      <c r="AS45" s="32"/>
      <c r="AT45" s="39"/>
      <c r="AU45" s="53"/>
      <c r="AV45" s="53"/>
      <c r="AW45" s="32"/>
      <c r="AX45" s="53"/>
      <c r="AY45" s="53"/>
      <c r="AZ45" s="53"/>
      <c r="BA45" s="54"/>
      <c r="BB45" s="32"/>
    </row>
    <row r="46" spans="1:54">
      <c r="A46" s="6">
        <v>2027</v>
      </c>
      <c r="B46" s="82"/>
      <c r="C46" s="198">
        <f t="shared" si="55"/>
        <v>12267947215.073095</v>
      </c>
      <c r="D46" s="90">
        <f t="shared" si="48"/>
        <v>13962758172.813728</v>
      </c>
      <c r="E46" s="6">
        <v>2027</v>
      </c>
      <c r="F46" s="99">
        <v>365</v>
      </c>
      <c r="G46" s="32">
        <v>75</v>
      </c>
      <c r="H46" s="32">
        <f t="shared" si="61"/>
        <v>1252.5800000000002</v>
      </c>
      <c r="I46" s="32">
        <f t="shared" si="49"/>
        <v>1692.5800000000002</v>
      </c>
      <c r="J46" s="9">
        <f t="shared" si="50"/>
        <v>423145000.00000006</v>
      </c>
      <c r="K46" s="4">
        <f>K45+750</f>
        <v>1800</v>
      </c>
      <c r="L46" s="10">
        <f t="shared" si="62"/>
        <v>7700054.3999999994</v>
      </c>
      <c r="M46" s="96">
        <f t="shared" si="63"/>
        <v>410653526.21999997</v>
      </c>
      <c r="O46" s="107">
        <v>7.0000000000000007E-2</v>
      </c>
      <c r="P46" s="90">
        <f t="shared" si="47"/>
        <v>977393072.09696102</v>
      </c>
      <c r="R46" s="236">
        <f t="shared" si="56"/>
        <v>621005393.37380242</v>
      </c>
      <c r="S46" s="39"/>
      <c r="T46" s="144">
        <f t="shared" si="57"/>
        <v>3842780558.7350407</v>
      </c>
      <c r="U46" s="39"/>
      <c r="V46" s="238">
        <f t="shared" si="51"/>
        <v>861012431.52063322</v>
      </c>
      <c r="W46" s="194">
        <v>2027</v>
      </c>
      <c r="X46" s="194"/>
      <c r="Y46" s="194"/>
      <c r="Z46" s="246">
        <f t="shared" si="60"/>
        <v>0.16524108386642811</v>
      </c>
      <c r="AA46" s="247">
        <f>'EIA Escalation'!E22</f>
        <v>3.4366185218194234E-2</v>
      </c>
      <c r="AB46" s="238">
        <f t="shared" si="52"/>
        <v>157697343.21937639</v>
      </c>
      <c r="AC46" s="17">
        <f t="shared" si="58"/>
        <v>2278266.3216610332</v>
      </c>
      <c r="AD46" s="244">
        <f t="shared" si="59"/>
        <v>0</v>
      </c>
      <c r="AE46" s="17">
        <f t="shared" si="53"/>
        <v>2278266.3216610332</v>
      </c>
      <c r="AF46" s="245">
        <f>Z46*(1-$W$2)</f>
        <v>0.11566875870649966</v>
      </c>
      <c r="AG46" s="238">
        <f t="shared" si="54"/>
        <v>263524237.42935458</v>
      </c>
      <c r="AH46" s="257"/>
      <c r="AJ46" s="53"/>
      <c r="AK46" s="39"/>
      <c r="AL46" s="39"/>
      <c r="AM46" s="39"/>
      <c r="AN46" s="39"/>
      <c r="AO46" s="53"/>
      <c r="AP46" s="53"/>
      <c r="AQ46" s="53"/>
      <c r="AR46" s="39"/>
      <c r="AS46" s="32"/>
      <c r="AT46" s="39"/>
      <c r="AU46" s="53"/>
      <c r="AV46" s="53"/>
      <c r="AW46" s="32"/>
      <c r="AX46" s="53"/>
      <c r="AY46" s="53"/>
      <c r="AZ46" s="53"/>
      <c r="BA46" s="54"/>
      <c r="BB46" s="32"/>
    </row>
    <row r="47" spans="1:54">
      <c r="A47" s="6">
        <v>2028</v>
      </c>
      <c r="B47" s="82"/>
      <c r="C47" s="198">
        <f t="shared" si="55"/>
        <v>12769048331.202711</v>
      </c>
      <c r="D47" s="90">
        <f t="shared" si="48"/>
        <v>14784123092.204226</v>
      </c>
      <c r="E47" s="6">
        <v>2028</v>
      </c>
      <c r="F47" s="99">
        <v>272</v>
      </c>
      <c r="G47" s="32">
        <v>75</v>
      </c>
      <c r="H47" s="32">
        <f t="shared" si="61"/>
        <v>1500.0600000000002</v>
      </c>
      <c r="I47" s="32">
        <f t="shared" si="49"/>
        <v>1847.0600000000002</v>
      </c>
      <c r="J47" s="9">
        <f t="shared" si="50"/>
        <v>461765000.00000006</v>
      </c>
      <c r="K47" s="4">
        <f>K46+750</f>
        <v>2550</v>
      </c>
      <c r="L47" s="10">
        <f t="shared" si="62"/>
        <v>10908410.399999999</v>
      </c>
      <c r="M47" s="96">
        <f t="shared" si="63"/>
        <v>581759162.14499986</v>
      </c>
      <c r="O47" s="107">
        <v>7.0000000000000007E-2</v>
      </c>
      <c r="P47" s="90">
        <f t="shared" si="47"/>
        <v>1034888616.4542959</v>
      </c>
      <c r="R47" s="236">
        <f t="shared" si="56"/>
        <v>774427529.26732862</v>
      </c>
      <c r="S47" s="39"/>
      <c r="T47" s="144">
        <f t="shared" si="57"/>
        <v>4617208088.0023689</v>
      </c>
      <c r="U47" s="39"/>
      <c r="V47" s="238">
        <f t="shared" si="51"/>
        <v>971550598.85651362</v>
      </c>
      <c r="W47" s="194">
        <v>2028</v>
      </c>
      <c r="X47" s="194"/>
      <c r="Y47" s="194"/>
      <c r="Z47" s="246">
        <f t="shared" si="60"/>
        <v>0.17113490784592367</v>
      </c>
      <c r="AA47" s="247">
        <f>'EIA Escalation'!E23</f>
        <v>3.5668030259713213E-2</v>
      </c>
      <c r="AB47" s="238">
        <f t="shared" si="52"/>
        <v>160851290.08376393</v>
      </c>
      <c r="AC47" s="17">
        <f t="shared" si="58"/>
        <v>2266874.9900527284</v>
      </c>
      <c r="AD47" s="244">
        <f t="shared" si="59"/>
        <v>0</v>
      </c>
      <c r="AE47" s="17">
        <f t="shared" si="53"/>
        <v>2266874.9900527284</v>
      </c>
      <c r="AF47" s="245">
        <f>Z47*(1-$W$2)</f>
        <v>0.11979443549214656</v>
      </c>
      <c r="AG47" s="238">
        <f t="shared" si="54"/>
        <v>271559009.76463199</v>
      </c>
      <c r="AH47" s="257"/>
      <c r="AJ47" s="53"/>
      <c r="AK47" s="39"/>
      <c r="AL47" s="39"/>
      <c r="AM47" s="39"/>
      <c r="AN47" s="39"/>
      <c r="AO47" s="53"/>
      <c r="AP47" s="53"/>
      <c r="AQ47" s="53"/>
      <c r="AR47" s="39"/>
      <c r="AS47" s="32"/>
      <c r="AT47" s="39"/>
      <c r="AU47" s="53"/>
      <c r="AV47" s="53"/>
      <c r="AW47" s="32"/>
      <c r="AX47" s="53"/>
      <c r="AY47" s="53"/>
      <c r="AZ47" s="53"/>
      <c r="BA47" s="54"/>
      <c r="BB47" s="32"/>
    </row>
    <row r="48" spans="1:54">
      <c r="A48" s="6">
        <v>2029</v>
      </c>
      <c r="B48" s="82"/>
      <c r="C48" s="198">
        <f t="shared" si="55"/>
        <v>13269700925.297709</v>
      </c>
      <c r="D48" s="90">
        <f t="shared" si="48"/>
        <v>15592259624.702799</v>
      </c>
      <c r="E48" s="6">
        <v>2029</v>
      </c>
      <c r="F48" s="99">
        <v>148</v>
      </c>
      <c r="G48" s="32">
        <v>75</v>
      </c>
      <c r="H48" s="32">
        <f t="shared" si="61"/>
        <v>1759.9600000000003</v>
      </c>
      <c r="I48" s="32">
        <f t="shared" si="49"/>
        <v>1982.9600000000003</v>
      </c>
      <c r="J48" s="9">
        <f t="shared" si="50"/>
        <v>495740000.00000006</v>
      </c>
      <c r="K48" s="4">
        <f>K47+750</f>
        <v>3300</v>
      </c>
      <c r="L48" s="10">
        <f t="shared" si="62"/>
        <v>14116766.399999999</v>
      </c>
      <c r="M48" s="96">
        <f t="shared" si="63"/>
        <v>752864798.06999981</v>
      </c>
      <c r="O48" s="107">
        <v>7.0000000000000007E-2</v>
      </c>
      <c r="P48" s="90">
        <f t="shared" si="47"/>
        <v>1091458173.7291961</v>
      </c>
      <c r="R48" s="236">
        <f t="shared" si="56"/>
        <v>916970196.80597925</v>
      </c>
      <c r="S48" s="39"/>
      <c r="T48" s="144">
        <f t="shared" si="57"/>
        <v>5534178284.8083477</v>
      </c>
      <c r="U48" s="39"/>
      <c r="V48" s="238">
        <f t="shared" si="51"/>
        <v>1073953901.3350911</v>
      </c>
      <c r="W48" s="194">
        <v>2029</v>
      </c>
      <c r="X48" s="194"/>
      <c r="Y48" s="194"/>
      <c r="Z48" s="246">
        <f t="shared" si="60"/>
        <v>0.17696001545564999</v>
      </c>
      <c r="AA48" s="247">
        <f>'EIA Escalation'!E24</f>
        <v>3.4038102939061288E-2</v>
      </c>
      <c r="AB48" s="238">
        <f t="shared" si="52"/>
        <v>164068315.88543919</v>
      </c>
      <c r="AC48" s="17">
        <f t="shared" si="58"/>
        <v>2255540.6151024648</v>
      </c>
      <c r="AD48" s="244">
        <f t="shared" si="59"/>
        <v>0</v>
      </c>
      <c r="AE48" s="17">
        <f t="shared" si="53"/>
        <v>2255540.6151024648</v>
      </c>
      <c r="AF48" s="245">
        <f>Z48*(1-$W$2)</f>
        <v>0.12387201081895498</v>
      </c>
      <c r="AG48" s="238">
        <f t="shared" si="54"/>
        <v>279398351.47656488</v>
      </c>
      <c r="AH48" s="257"/>
      <c r="AJ48" s="53"/>
      <c r="AK48" s="39"/>
      <c r="AL48" s="39"/>
      <c r="AM48" s="39"/>
      <c r="AN48" s="39"/>
      <c r="AO48" s="53"/>
      <c r="AP48" s="53"/>
      <c r="AQ48" s="53"/>
      <c r="AR48" s="39"/>
      <c r="AS48" s="32"/>
      <c r="AT48" s="39"/>
      <c r="AU48" s="53"/>
      <c r="AV48" s="53"/>
      <c r="AW48" s="32"/>
      <c r="AX48" s="53"/>
      <c r="AY48" s="53"/>
      <c r="AZ48" s="53"/>
      <c r="BA48" s="54"/>
      <c r="BB48" s="32"/>
    </row>
    <row r="49" spans="1:54">
      <c r="A49" s="6">
        <v>2030</v>
      </c>
      <c r="B49" s="82"/>
      <c r="C49" s="198">
        <f t="shared" si="55"/>
        <v>13682761704.233583</v>
      </c>
      <c r="D49" s="90">
        <f t="shared" si="48"/>
        <v>16300335594.860683</v>
      </c>
      <c r="E49" s="6">
        <v>2030</v>
      </c>
      <c r="F49" s="99">
        <v>5</v>
      </c>
      <c r="G49" s="32">
        <v>75</v>
      </c>
      <c r="H49" s="32">
        <f t="shared" si="61"/>
        <v>2033.2000000000003</v>
      </c>
      <c r="I49" s="32">
        <f t="shared" si="49"/>
        <v>2113.2000000000003</v>
      </c>
      <c r="J49" s="9">
        <f t="shared" si="50"/>
        <v>528300000.00000006</v>
      </c>
      <c r="K49" s="4">
        <f t="shared" ref="K49:K54" si="64">K48+700</f>
        <v>4000</v>
      </c>
      <c r="L49" s="10">
        <f t="shared" si="62"/>
        <v>17111232</v>
      </c>
      <c r="M49" s="96">
        <f t="shared" si="63"/>
        <v>912563391.5999999</v>
      </c>
      <c r="O49" s="107">
        <v>7.0000000000000007E-2</v>
      </c>
      <c r="P49" s="90">
        <f t="shared" si="47"/>
        <v>1141023491.6402481</v>
      </c>
      <c r="R49" s="236">
        <f t="shared" si="56"/>
        <v>1066558103.2861283</v>
      </c>
      <c r="S49" s="39"/>
      <c r="T49" s="144">
        <f t="shared" si="57"/>
        <v>6600736388.0944757</v>
      </c>
      <c r="U49" s="39"/>
      <c r="V49" s="238">
        <f t="shared" si="51"/>
        <v>1176710499.0271001</v>
      </c>
      <c r="W49" s="194">
        <v>2030</v>
      </c>
      <c r="X49" s="194"/>
      <c r="Y49" s="194"/>
      <c r="Z49" s="246">
        <f t="shared" si="60"/>
        <v>0.18156064398082494</v>
      </c>
      <c r="AA49" s="247">
        <f>'EIA Escalation'!E25</f>
        <v>2.599812456689099E-2</v>
      </c>
      <c r="AB49" s="238">
        <f t="shared" si="52"/>
        <v>167349682.20314798</v>
      </c>
      <c r="AC49" s="17">
        <f t="shared" si="58"/>
        <v>2244262.912026952</v>
      </c>
      <c r="AD49" s="244">
        <f t="shared" si="59"/>
        <v>0</v>
      </c>
      <c r="AE49" s="17">
        <f t="shared" si="53"/>
        <v>2244262.912026952</v>
      </c>
      <c r="AF49" s="245">
        <f>Z49*(1-$W$2)</f>
        <v>0.12709245078657747</v>
      </c>
      <c r="AG49" s="238">
        <f t="shared" si="54"/>
        <v>285228873.69892639</v>
      </c>
      <c r="AH49" s="257"/>
      <c r="AJ49" s="53"/>
      <c r="AK49" s="39"/>
      <c r="AL49" s="39"/>
      <c r="AM49" s="39"/>
      <c r="AN49" s="39"/>
      <c r="AO49" s="53"/>
      <c r="AP49" s="53"/>
      <c r="AQ49" s="53"/>
      <c r="AR49" s="39"/>
      <c r="AS49" s="32"/>
      <c r="AT49" s="39"/>
      <c r="AU49" s="53"/>
      <c r="AV49" s="53"/>
      <c r="AW49" s="32"/>
      <c r="AX49" s="53"/>
      <c r="AY49" s="53"/>
      <c r="AZ49" s="53"/>
      <c r="BA49" s="54"/>
      <c r="BB49" s="32"/>
    </row>
    <row r="50" spans="1:54">
      <c r="A50" s="6">
        <v>2031</v>
      </c>
      <c r="B50" s="82"/>
      <c r="C50" s="198">
        <f t="shared" si="55"/>
        <v>13957033861.078556</v>
      </c>
      <c r="D50" s="127">
        <f t="shared" si="48"/>
        <v>16907109207.221848</v>
      </c>
      <c r="E50" s="6">
        <v>2031</v>
      </c>
      <c r="F50" s="99">
        <v>0</v>
      </c>
      <c r="G50" s="32">
        <v>75</v>
      </c>
      <c r="H50" s="32">
        <f t="shared" si="61"/>
        <v>2320.2400000000002</v>
      </c>
      <c r="I50" s="32">
        <f t="shared" si="49"/>
        <v>2395.2400000000002</v>
      </c>
      <c r="J50" s="9">
        <f t="shared" si="50"/>
        <v>598810000</v>
      </c>
      <c r="K50" s="4">
        <f t="shared" si="64"/>
        <v>4700</v>
      </c>
      <c r="L50" s="10">
        <f t="shared" si="62"/>
        <v>20105697.599999998</v>
      </c>
      <c r="M50" s="96">
        <f t="shared" si="63"/>
        <v>1072261985.1299998</v>
      </c>
      <c r="O50" s="107">
        <v>7.0000000000000007E-2</v>
      </c>
      <c r="P50" s="90">
        <f t="shared" si="47"/>
        <v>1183497644.5055294</v>
      </c>
      <c r="R50" s="236">
        <f t="shared" si="56"/>
        <v>1206249762.4997942</v>
      </c>
      <c r="S50" s="39"/>
      <c r="T50" s="144">
        <f t="shared" si="57"/>
        <v>7806986150.5942698</v>
      </c>
      <c r="U50" s="39"/>
      <c r="V50" s="238">
        <f t="shared" si="51"/>
        <v>1279003361.0132928</v>
      </c>
      <c r="W50" s="194">
        <v>2031</v>
      </c>
      <c r="X50" s="194"/>
      <c r="Y50" s="194"/>
      <c r="Z50" s="246">
        <f t="shared" si="60"/>
        <v>0.1842786497437382</v>
      </c>
      <c r="AA50" s="247">
        <f>'EIA Escalation'!E26</f>
        <v>1.4970236408724746E-2</v>
      </c>
      <c r="AB50" s="238">
        <f t="shared" si="52"/>
        <v>170696675.84721094</v>
      </c>
      <c r="AC50" s="17">
        <f t="shared" si="58"/>
        <v>2233041.5974668176</v>
      </c>
      <c r="AD50" s="244">
        <f t="shared" si="59"/>
        <v>0</v>
      </c>
      <c r="AE50" s="17">
        <f t="shared" si="53"/>
        <v>2233041.5974668176</v>
      </c>
      <c r="AF50" s="245">
        <f>Z50*(1-$W$2)</f>
        <v>0.12899505482061674</v>
      </c>
      <c r="AG50" s="238">
        <f t="shared" si="54"/>
        <v>288051323.28194976</v>
      </c>
      <c r="AH50" s="257"/>
      <c r="AJ50" s="53"/>
      <c r="AK50" s="39"/>
      <c r="AL50" s="39"/>
      <c r="AM50" s="39"/>
      <c r="AN50" s="39"/>
      <c r="AO50" s="53"/>
      <c r="AP50" s="53"/>
      <c r="AQ50" s="53"/>
      <c r="AR50" s="39"/>
      <c r="AS50" s="32"/>
      <c r="AT50" s="39"/>
      <c r="AU50" s="53"/>
      <c r="AV50" s="53"/>
      <c r="AW50" s="32"/>
      <c r="AX50" s="53"/>
      <c r="AY50" s="53"/>
      <c r="AZ50" s="53"/>
      <c r="BA50" s="54"/>
      <c r="BB50" s="32"/>
    </row>
    <row r="51" spans="1:54">
      <c r="A51" s="6">
        <v>2032</v>
      </c>
      <c r="B51" s="82"/>
      <c r="C51" s="198">
        <f t="shared" si="55"/>
        <v>14405947243.142054</v>
      </c>
      <c r="D51" s="127">
        <f t="shared" si="48"/>
        <v>17689182140.253811</v>
      </c>
      <c r="E51" s="6">
        <v>2032</v>
      </c>
      <c r="F51" s="99">
        <v>0</v>
      </c>
      <c r="G51" s="32">
        <v>75</v>
      </c>
      <c r="H51" s="32">
        <f t="shared" si="61"/>
        <v>2621.5400000000004</v>
      </c>
      <c r="I51" s="32">
        <f t="shared" si="49"/>
        <v>2696.5400000000004</v>
      </c>
      <c r="J51" s="9">
        <f t="shared" si="50"/>
        <v>674135000.00000012</v>
      </c>
      <c r="K51" s="4">
        <f t="shared" si="64"/>
        <v>5400</v>
      </c>
      <c r="L51" s="10">
        <f t="shared" si="62"/>
        <v>23100163.199999999</v>
      </c>
      <c r="M51" s="96">
        <f t="shared" si="63"/>
        <v>1231960578.6599998</v>
      </c>
      <c r="O51" s="107">
        <v>7.0000000000000007E-2</v>
      </c>
      <c r="P51" s="90">
        <f t="shared" si="47"/>
        <v>1238242749.8177669</v>
      </c>
      <c r="R51" s="236">
        <f t="shared" si="56"/>
        <v>1305681986.1118197</v>
      </c>
      <c r="S51" s="39"/>
      <c r="T51" s="144">
        <f t="shared" si="57"/>
        <v>9112668136.706089</v>
      </c>
      <c r="U51" s="39"/>
      <c r="V51" s="238">
        <f t="shared" si="51"/>
        <v>1377139318.4517589</v>
      </c>
      <c r="W51" s="194">
        <v>2032</v>
      </c>
      <c r="X51" s="194"/>
      <c r="Y51" s="194"/>
      <c r="Z51" s="246">
        <f t="shared" si="60"/>
        <v>0.18925948217448982</v>
      </c>
      <c r="AA51" s="247">
        <f>'EIA Escalation'!E27</f>
        <v>2.7028809021978795E-2</v>
      </c>
      <c r="AB51" s="238">
        <f t="shared" si="52"/>
        <v>174110609.36415517</v>
      </c>
      <c r="AC51" s="17">
        <f t="shared" si="58"/>
        <v>2221876.389479483</v>
      </c>
      <c r="AD51" s="244">
        <f t="shared" si="59"/>
        <v>0</v>
      </c>
      <c r="AE51" s="17">
        <f t="shared" si="53"/>
        <v>2221876.389479483</v>
      </c>
      <c r="AF51" s="245">
        <f>Z51*(1-$W$2)</f>
        <v>0.13248163752214287</v>
      </c>
      <c r="AG51" s="238">
        <f t="shared" si="54"/>
        <v>294357822.45002836</v>
      </c>
      <c r="AH51" s="257"/>
      <c r="AJ51" s="53"/>
      <c r="AK51" s="39"/>
      <c r="AL51" s="39"/>
      <c r="AM51" s="39"/>
      <c r="AN51" s="39"/>
      <c r="AO51" s="53"/>
      <c r="AP51" s="53"/>
      <c r="AQ51" s="53"/>
      <c r="AR51" s="39"/>
      <c r="AS51" s="32"/>
      <c r="AT51" s="39"/>
      <c r="AU51" s="53"/>
      <c r="AV51" s="53"/>
      <c r="AW51" s="32"/>
      <c r="AX51" s="53"/>
      <c r="AY51" s="53"/>
      <c r="AZ51" s="53"/>
      <c r="BA51" s="54"/>
      <c r="BB51" s="32"/>
    </row>
    <row r="52" spans="1:54">
      <c r="A52" s="6">
        <v>2033</v>
      </c>
      <c r="B52" s="82"/>
      <c r="C52" s="198">
        <f t="shared" si="55"/>
        <v>14933711649.957716</v>
      </c>
      <c r="D52" s="127">
        <f t="shared" si="48"/>
        <v>18557810436.910362</v>
      </c>
      <c r="E52" s="6">
        <v>2033</v>
      </c>
      <c r="F52" s="99">
        <v>0</v>
      </c>
      <c r="G52" s="32">
        <v>75</v>
      </c>
      <c r="H52" s="32">
        <f t="shared" si="61"/>
        <v>2938.0200000000004</v>
      </c>
      <c r="I52" s="32">
        <f t="shared" si="49"/>
        <v>3013.0200000000004</v>
      </c>
      <c r="J52" s="9">
        <f t="shared" si="50"/>
        <v>753255000.00000012</v>
      </c>
      <c r="K52" s="4">
        <f t="shared" si="64"/>
        <v>6100</v>
      </c>
      <c r="L52" s="10">
        <f t="shared" si="62"/>
        <v>26094628.799999997</v>
      </c>
      <c r="M52" s="96">
        <f t="shared" si="63"/>
        <v>1391659172.1899996</v>
      </c>
      <c r="O52" s="107">
        <v>7.0000000000000007E-2</v>
      </c>
      <c r="P52" s="90">
        <f t="shared" si="47"/>
        <v>1299046730.5837255</v>
      </c>
      <c r="R52" s="236">
        <f t="shared" si="56"/>
        <v>1418559650.8386323</v>
      </c>
      <c r="S52" s="39"/>
      <c r="T52" s="144">
        <f t="shared" si="57"/>
        <v>10531227787.544722</v>
      </c>
      <c r="U52" s="39"/>
      <c r="V52" s="238">
        <f t="shared" si="51"/>
        <v>1479184614.7626467</v>
      </c>
      <c r="W52" s="194">
        <v>2033</v>
      </c>
      <c r="X52" s="194"/>
      <c r="Y52" s="194"/>
      <c r="Z52" s="246">
        <f t="shared" si="60"/>
        <v>0.19521695177743809</v>
      </c>
      <c r="AA52" s="247">
        <f>'EIA Escalation'!E28</f>
        <v>3.147778665829648E-2</v>
      </c>
      <c r="AB52" s="238">
        <f t="shared" si="52"/>
        <v>177592821.55143827</v>
      </c>
      <c r="AC52" s="17">
        <f t="shared" si="58"/>
        <v>2210767.0075320853</v>
      </c>
      <c r="AD52" s="244">
        <f t="shared" si="59"/>
        <v>0</v>
      </c>
      <c r="AE52" s="17">
        <f t="shared" si="53"/>
        <v>2210767.0075320853</v>
      </c>
      <c r="AF52" s="245">
        <f>Z52*(1-$W$2)</f>
        <v>0.13665186624420664</v>
      </c>
      <c r="AG52" s="238">
        <f t="shared" si="54"/>
        <v>302105437.41037947</v>
      </c>
      <c r="AH52" s="257"/>
      <c r="AJ52" s="53"/>
      <c r="AK52" s="39"/>
      <c r="AL52" s="39"/>
      <c r="AM52" s="39"/>
      <c r="AN52" s="39"/>
      <c r="AO52" s="53"/>
      <c r="AP52" s="53"/>
      <c r="AQ52" s="53"/>
      <c r="AR52" s="39"/>
      <c r="AS52" s="32"/>
      <c r="AT52" s="39"/>
      <c r="AU52" s="53"/>
      <c r="AV52" s="53"/>
      <c r="AW52" s="32"/>
      <c r="AX52" s="53"/>
      <c r="AY52" s="53"/>
      <c r="AZ52" s="53"/>
      <c r="BA52" s="54"/>
      <c r="BB52" s="32"/>
    </row>
    <row r="53" spans="1:54">
      <c r="A53" s="6">
        <v>2034</v>
      </c>
      <c r="B53" s="82"/>
      <c r="C53" s="198">
        <f t="shared" si="55"/>
        <v>15568284084.253248</v>
      </c>
      <c r="D53" s="127">
        <f t="shared" si="48"/>
        <v>19541608408.329082</v>
      </c>
      <c r="E53" s="6">
        <v>2034</v>
      </c>
      <c r="F53" s="99">
        <v>0</v>
      </c>
      <c r="G53" s="32">
        <v>74</v>
      </c>
      <c r="H53" s="32">
        <f t="shared" si="61"/>
        <v>3270.6000000000004</v>
      </c>
      <c r="I53" s="32">
        <f t="shared" si="49"/>
        <v>3344.6000000000004</v>
      </c>
      <c r="J53" s="9">
        <f t="shared" si="50"/>
        <v>836150000.00000012</v>
      </c>
      <c r="K53" s="4">
        <f t="shared" si="64"/>
        <v>6800</v>
      </c>
      <c r="L53" s="10">
        <f t="shared" si="62"/>
        <v>29089094.400000002</v>
      </c>
      <c r="M53" s="96">
        <f t="shared" si="63"/>
        <v>1551357765.7199998</v>
      </c>
      <c r="O53" s="107">
        <v>7.0000000000000007E-2</v>
      </c>
      <c r="P53" s="90">
        <f t="shared" si="47"/>
        <v>1367912588.5830359</v>
      </c>
      <c r="R53" s="236">
        <f t="shared" si="56"/>
        <v>1590102264.331336</v>
      </c>
      <c r="S53" s="39"/>
      <c r="T53" s="144">
        <f t="shared" si="57"/>
        <v>12121330051.876057</v>
      </c>
      <c r="U53" s="39"/>
      <c r="V53" s="238">
        <f t="shared" si="51"/>
        <v>1585816558.3558345</v>
      </c>
      <c r="W53" s="194">
        <v>2034</v>
      </c>
      <c r="X53" s="194"/>
      <c r="Y53" s="194"/>
      <c r="Z53" s="246">
        <f t="shared" si="60"/>
        <v>0.20249973156137832</v>
      </c>
      <c r="AA53" s="247">
        <f>'EIA Escalation'!E29</f>
        <v>3.7306082886916281E-2</v>
      </c>
      <c r="AB53" s="238">
        <f t="shared" si="52"/>
        <v>181144677.982467</v>
      </c>
      <c r="AC53" s="17">
        <f t="shared" si="58"/>
        <v>2199713.1724944254</v>
      </c>
      <c r="AD53" s="244">
        <f t="shared" si="59"/>
        <v>0</v>
      </c>
      <c r="AE53" s="17">
        <f t="shared" si="53"/>
        <v>2199713.1724944254</v>
      </c>
      <c r="AF53" s="245">
        <f>Z53*(1-$W$2)</f>
        <v>0.14174981209296481</v>
      </c>
      <c r="AG53" s="238">
        <f t="shared" si="54"/>
        <v>311808928.85950428</v>
      </c>
      <c r="AH53" s="257"/>
      <c r="AJ53" s="53"/>
      <c r="AK53" s="39"/>
      <c r="AL53" s="39"/>
      <c r="AM53" s="39"/>
      <c r="AN53" s="39"/>
      <c r="AO53" s="53"/>
      <c r="AP53" s="53"/>
      <c r="AQ53" s="53"/>
      <c r="AR53" s="39"/>
      <c r="AS53" s="32"/>
      <c r="AT53" s="39"/>
      <c r="AU53" s="53"/>
      <c r="AV53" s="53"/>
      <c r="AW53" s="32"/>
      <c r="AX53" s="53"/>
      <c r="AY53" s="53"/>
      <c r="AZ53" s="53"/>
      <c r="BA53" s="54"/>
      <c r="BB53" s="32"/>
    </row>
    <row r="54" spans="1:54">
      <c r="A54" s="6">
        <v>2035</v>
      </c>
      <c r="B54" s="82"/>
      <c r="C54" s="198">
        <f t="shared" si="55"/>
        <v>15976230710.380356</v>
      </c>
      <c r="D54" s="127">
        <f t="shared" si="48"/>
        <v>20288854990.867409</v>
      </c>
      <c r="E54" s="6">
        <v>2035</v>
      </c>
      <c r="F54" s="99">
        <v>0</v>
      </c>
      <c r="G54" s="32">
        <v>65</v>
      </c>
      <c r="H54" s="32">
        <f t="shared" si="61"/>
        <v>3619.7400000000002</v>
      </c>
      <c r="I54" s="32">
        <f t="shared" si="49"/>
        <v>3684.7400000000002</v>
      </c>
      <c r="J54" s="9">
        <f t="shared" si="50"/>
        <v>921185000</v>
      </c>
      <c r="K54" s="4">
        <f t="shared" si="64"/>
        <v>7500</v>
      </c>
      <c r="L54" s="10">
        <f t="shared" si="62"/>
        <v>32083560</v>
      </c>
      <c r="M54" s="96">
        <f t="shared" si="63"/>
        <v>1711056359.25</v>
      </c>
      <c r="O54" s="107">
        <v>7.0000000000000007E-2</v>
      </c>
      <c r="P54" s="90">
        <f t="shared" si="47"/>
        <v>1420219849.3607187</v>
      </c>
      <c r="R54" s="236">
        <f t="shared" si="56"/>
        <v>1662167710.4033484</v>
      </c>
      <c r="S54" s="39"/>
      <c r="T54" s="144">
        <f t="shared" si="57"/>
        <v>13783497762.279406</v>
      </c>
      <c r="U54" s="39"/>
      <c r="V54" s="238">
        <f t="shared" si="51"/>
        <v>1680382921.2370517</v>
      </c>
      <c r="W54" s="194">
        <v>2035</v>
      </c>
      <c r="X54" s="194"/>
      <c r="Y54" s="194"/>
      <c r="Z54" s="246">
        <f t="shared" si="60"/>
        <v>0.20677211295845169</v>
      </c>
      <c r="AA54" s="247">
        <f>'EIA Escalation'!E30</f>
        <v>2.1098207706899519E-2</v>
      </c>
      <c r="AB54" s="238">
        <f t="shared" si="52"/>
        <v>184767571.54211634</v>
      </c>
      <c r="AC54" s="17">
        <f t="shared" si="58"/>
        <v>2188714.6066319533</v>
      </c>
      <c r="AD54" s="244">
        <f t="shared" si="59"/>
        <v>0</v>
      </c>
      <c r="AE54" s="17">
        <f t="shared" si="53"/>
        <v>2188714.6066319533</v>
      </c>
      <c r="AF54" s="245">
        <f>Z54*(1-$W$2)</f>
        <v>0.14474047907091617</v>
      </c>
      <c r="AG54" s="238">
        <f t="shared" si="54"/>
        <v>316795600.71342069</v>
      </c>
      <c r="AH54" s="257"/>
      <c r="AJ54" s="53"/>
      <c r="AK54" s="39"/>
      <c r="AL54" s="39"/>
      <c r="AM54" s="39"/>
      <c r="AN54" s="39"/>
      <c r="AO54" s="53"/>
      <c r="AP54" s="53"/>
      <c r="AQ54" s="53"/>
      <c r="AR54" s="39"/>
      <c r="AS54" s="32"/>
      <c r="AT54" s="39"/>
      <c r="AU54" s="53"/>
      <c r="AV54" s="53"/>
      <c r="AW54" s="32"/>
      <c r="AX54" s="53"/>
      <c r="AY54" s="53"/>
      <c r="AZ54" s="53"/>
      <c r="BA54" s="54"/>
      <c r="BB54" s="32"/>
    </row>
    <row r="55" spans="1:54">
      <c r="A55" s="6">
        <v>2036</v>
      </c>
      <c r="B55" s="82"/>
      <c r="C55" s="198">
        <f t="shared" si="55"/>
        <v>16386732949.615753</v>
      </c>
      <c r="D55" s="127">
        <f t="shared" si="48"/>
        <v>20871861219.164295</v>
      </c>
      <c r="E55" s="6">
        <v>2036</v>
      </c>
      <c r="F55" s="99">
        <v>0</v>
      </c>
      <c r="G55" s="32">
        <v>0</v>
      </c>
      <c r="H55" s="32">
        <f t="shared" si="61"/>
        <v>3986.36</v>
      </c>
      <c r="I55" s="32">
        <f t="shared" si="49"/>
        <v>3986.36</v>
      </c>
      <c r="J55" s="9">
        <f t="shared" si="50"/>
        <v>996590000</v>
      </c>
      <c r="K55" s="4">
        <f>K54</f>
        <v>7500</v>
      </c>
      <c r="L55" s="10">
        <f t="shared" si="62"/>
        <v>32083560</v>
      </c>
      <c r="M55" s="96">
        <f t="shared" si="63"/>
        <v>1711056359.25</v>
      </c>
      <c r="O55" s="107">
        <v>7.0000000000000007E-2</v>
      </c>
      <c r="P55" s="90">
        <f t="shared" si="47"/>
        <v>1461030285.3415008</v>
      </c>
      <c r="R55" s="236">
        <f t="shared" si="56"/>
        <v>1697291415.4423943</v>
      </c>
      <c r="S55" s="39"/>
      <c r="T55" s="144">
        <f t="shared" si="57"/>
        <v>15480789177.7218</v>
      </c>
      <c r="U55" s="39"/>
      <c r="V55" s="238">
        <f t="shared" si="51"/>
        <v>1777481910.2985432</v>
      </c>
      <c r="W55" s="194">
        <v>2036</v>
      </c>
      <c r="X55" s="194"/>
      <c r="Y55" s="194"/>
      <c r="Z55" s="246">
        <f t="shared" si="60"/>
        <v>0.21102988227737138</v>
      </c>
      <c r="AA55" s="247">
        <f>'EIA Escalation'!E31</f>
        <v>2.0591603277639425E-2</v>
      </c>
      <c r="AB55" s="238">
        <f t="shared" si="52"/>
        <v>188462922.97295871</v>
      </c>
      <c r="AC55" s="17">
        <f t="shared" si="58"/>
        <v>2177771.0335987937</v>
      </c>
      <c r="AD55" s="244">
        <f t="shared" si="59"/>
        <v>0</v>
      </c>
      <c r="AE55" s="17">
        <f t="shared" si="53"/>
        <v>2177771.0335987937</v>
      </c>
      <c r="AF55" s="245">
        <f>Z55*(1-$W$2)</f>
        <v>0.14772091759415995</v>
      </c>
      <c r="AG55" s="238">
        <f t="shared" si="54"/>
        <v>321702335.39319593</v>
      </c>
      <c r="AH55" s="257"/>
      <c r="AJ55" s="53"/>
      <c r="AK55" s="39"/>
      <c r="AL55" s="39"/>
      <c r="AM55" s="39"/>
      <c r="AN55" s="39"/>
      <c r="AO55" s="53"/>
      <c r="AP55" s="53"/>
      <c r="AQ55" s="53"/>
      <c r="AR55" s="39"/>
      <c r="AS55" s="32"/>
      <c r="AT55" s="39"/>
      <c r="AU55" s="53"/>
      <c r="AV55" s="53"/>
      <c r="AW55" s="32"/>
      <c r="AX55" s="53"/>
      <c r="AY55" s="53"/>
      <c r="AZ55" s="53"/>
      <c r="BA55" s="54"/>
      <c r="BB55" s="32"/>
    </row>
    <row r="56" spans="1:54">
      <c r="A56" s="6">
        <v>2037</v>
      </c>
      <c r="B56" s="82"/>
      <c r="C56" s="198">
        <f t="shared" si="55"/>
        <v>16603502439.50436</v>
      </c>
      <c r="D56" s="127">
        <f t="shared" si="48"/>
        <v>21280847368.723419</v>
      </c>
      <c r="E56" s="6">
        <v>2037</v>
      </c>
      <c r="F56" s="99">
        <v>0</v>
      </c>
      <c r="G56" s="32">
        <v>0</v>
      </c>
      <c r="H56" s="32">
        <f t="shared" si="61"/>
        <v>4371.38</v>
      </c>
      <c r="I56" s="32">
        <f t="shared" si="49"/>
        <v>4371.38</v>
      </c>
      <c r="J56" s="9">
        <f t="shared" si="50"/>
        <v>1092845000</v>
      </c>
      <c r="K56" s="4">
        <f>K55</f>
        <v>7500</v>
      </c>
      <c r="L56" s="10">
        <f t="shared" si="62"/>
        <v>32083560</v>
      </c>
      <c r="M56" s="96">
        <f t="shared" si="63"/>
        <v>1711056359.25</v>
      </c>
      <c r="O56" s="107">
        <v>7.0000000000000007E-2</v>
      </c>
      <c r="P56" s="90">
        <f t="shared" si="47"/>
        <v>1489659315.8106394</v>
      </c>
      <c r="R56" s="236">
        <f t="shared" si="56"/>
        <v>1744011745.1172853</v>
      </c>
      <c r="S56" s="39"/>
      <c r="T56" s="144">
        <f t="shared" si="57"/>
        <v>17224800922.839085</v>
      </c>
      <c r="U56" s="39"/>
      <c r="V56" s="238">
        <f t="shared" si="51"/>
        <v>1873443569.969058</v>
      </c>
      <c r="W56" s="194">
        <v>2037</v>
      </c>
      <c r="X56" s="194"/>
      <c r="Y56" s="194"/>
      <c r="Z56" s="246">
        <f t="shared" si="60"/>
        <v>0.21275767171973953</v>
      </c>
      <c r="AA56" s="247">
        <f>'EIA Escalation'!E32</f>
        <v>8.1874160366406379E-3</v>
      </c>
      <c r="AB56" s="238">
        <f t="shared" si="52"/>
        <v>192232181.43241787</v>
      </c>
      <c r="AC56" s="17">
        <f t="shared" si="58"/>
        <v>2166882.1784307994</v>
      </c>
      <c r="AD56" s="244">
        <f t="shared" si="59"/>
        <v>0</v>
      </c>
      <c r="AE56" s="17">
        <f t="shared" si="53"/>
        <v>2166882.1784307994</v>
      </c>
      <c r="AF56" s="245">
        <f>Z56*(1-$W$2)</f>
        <v>0.14893037020381766</v>
      </c>
      <c r="AG56" s="238">
        <f t="shared" si="54"/>
        <v>322714565.02175385</v>
      </c>
      <c r="AH56" s="257"/>
      <c r="AJ56" s="53"/>
      <c r="AK56" s="39"/>
      <c r="AL56" s="39"/>
      <c r="AM56" s="39"/>
      <c r="AN56" s="39"/>
      <c r="AO56" s="53"/>
      <c r="AP56" s="53"/>
      <c r="AQ56" s="53"/>
      <c r="AR56" s="39"/>
      <c r="AS56" s="32"/>
      <c r="AT56" s="39"/>
      <c r="AU56" s="53"/>
      <c r="AV56" s="53"/>
      <c r="AW56" s="32"/>
      <c r="AX56" s="53"/>
      <c r="AY56" s="53"/>
      <c r="AZ56" s="53"/>
      <c r="BA56" s="54"/>
      <c r="BB56" s="32"/>
    </row>
    <row r="57" spans="1:54">
      <c r="A57" s="6">
        <v>2038</v>
      </c>
      <c r="B57" s="82"/>
      <c r="C57" s="198">
        <f t="shared" si="55"/>
        <v>16844561642.212513</v>
      </c>
      <c r="D57" s="127">
        <f t="shared" si="48"/>
        <v>21712203356.813835</v>
      </c>
      <c r="E57" s="6">
        <v>2038</v>
      </c>
      <c r="F57" s="99">
        <v>0</v>
      </c>
      <c r="G57" s="32">
        <v>0</v>
      </c>
      <c r="H57" s="32">
        <f t="shared" si="61"/>
        <v>4775.72</v>
      </c>
      <c r="I57" s="32">
        <f t="shared" si="49"/>
        <v>4775.72</v>
      </c>
      <c r="J57" s="9">
        <f t="shared" si="50"/>
        <v>1193930000</v>
      </c>
      <c r="K57" s="4">
        <f>K56</f>
        <v>7500</v>
      </c>
      <c r="L57" s="10">
        <f t="shared" si="62"/>
        <v>32083560</v>
      </c>
      <c r="M57" s="96">
        <f t="shared" si="63"/>
        <v>1711056359.25</v>
      </c>
      <c r="O57" s="107">
        <v>7.0000000000000007E-2</v>
      </c>
      <c r="P57" s="90">
        <f t="shared" si="47"/>
        <v>1519854234.9769685</v>
      </c>
      <c r="R57" s="236">
        <f t="shared" si="56"/>
        <v>1790340325.0132892</v>
      </c>
      <c r="S57" s="39"/>
      <c r="T57" s="144">
        <f t="shared" si="57"/>
        <v>19015141247.852375</v>
      </c>
      <c r="U57" s="39"/>
      <c r="V57" s="238">
        <f t="shared" si="51"/>
        <v>1962655355.3513222</v>
      </c>
      <c r="W57" s="194">
        <v>2038</v>
      </c>
      <c r="X57" s="194"/>
      <c r="Y57" s="194"/>
      <c r="Z57" s="246">
        <f t="shared" si="60"/>
        <v>0.21477274629520629</v>
      </c>
      <c r="AA57" s="247">
        <f>'EIA Escalation'!E33</f>
        <v>9.4712193416046642E-3</v>
      </c>
      <c r="AB57" s="238">
        <f t="shared" si="52"/>
        <v>196076825.06106621</v>
      </c>
      <c r="AC57" s="17">
        <f t="shared" si="58"/>
        <v>2156047.7675386453</v>
      </c>
      <c r="AD57" s="244">
        <f t="shared" si="59"/>
        <v>0</v>
      </c>
      <c r="AE57" s="17">
        <f t="shared" si="53"/>
        <v>2156047.7675386453</v>
      </c>
      <c r="AF57" s="245">
        <f>Z57*(1-$W$2)</f>
        <v>0.1503409224066444</v>
      </c>
      <c r="AG57" s="238">
        <f t="shared" si="54"/>
        <v>324142210.12454635</v>
      </c>
      <c r="AH57" s="257"/>
      <c r="AJ57" s="53"/>
      <c r="AK57" s="39"/>
      <c r="AL57" s="39"/>
      <c r="AM57" s="39"/>
      <c r="AN57" s="39"/>
      <c r="AO57" s="53"/>
      <c r="AP57" s="53"/>
      <c r="AQ57" s="53"/>
      <c r="AR57" s="39"/>
      <c r="AS57" s="32"/>
      <c r="AT57" s="39"/>
      <c r="AU57" s="53"/>
      <c r="AV57" s="53"/>
      <c r="AW57" s="32"/>
      <c r="AX57" s="53"/>
      <c r="AY57" s="53"/>
      <c r="AZ57" s="53"/>
      <c r="BA57" s="54"/>
      <c r="BB57" s="32"/>
    </row>
    <row r="58" spans="1:54">
      <c r="A58" s="6">
        <v>2039</v>
      </c>
      <c r="B58" s="5"/>
      <c r="C58" s="199">
        <f t="shared" si="55"/>
        <v>17097352329.886093</v>
      </c>
      <c r="D58" s="127">
        <f t="shared" si="48"/>
        <v>22163291792.554028</v>
      </c>
      <c r="E58" s="6">
        <v>2039</v>
      </c>
      <c r="F58" s="99">
        <v>0</v>
      </c>
      <c r="G58" s="32">
        <v>0</v>
      </c>
      <c r="H58" s="32">
        <f t="shared" si="61"/>
        <v>5200.3</v>
      </c>
      <c r="I58" s="32">
        <f t="shared" si="49"/>
        <v>5200.3</v>
      </c>
      <c r="J58" s="9">
        <f t="shared" si="50"/>
        <v>1300075000</v>
      </c>
      <c r="K58" s="4">
        <f>K57</f>
        <v>7500</v>
      </c>
      <c r="L58" s="10">
        <f t="shared" si="62"/>
        <v>32083560</v>
      </c>
      <c r="M58" s="96">
        <f t="shared" si="63"/>
        <v>1711056359.25</v>
      </c>
      <c r="O58" s="107">
        <v>7.0000000000000007E-2</v>
      </c>
      <c r="P58" s="90">
        <f t="shared" si="47"/>
        <v>1551430425.4787822</v>
      </c>
      <c r="R58" s="236">
        <f t="shared" si="56"/>
        <v>1808733133.9935312</v>
      </c>
      <c r="S58" s="39"/>
      <c r="T58" s="144">
        <f t="shared" si="57"/>
        <v>20823874381.845905</v>
      </c>
      <c r="U58" s="39"/>
      <c r="V58" s="238">
        <f t="shared" si="51"/>
        <v>2054808103.4179349</v>
      </c>
      <c r="W58" s="194">
        <v>2039</v>
      </c>
      <c r="X58" s="194"/>
      <c r="Y58" s="194"/>
      <c r="Z58" s="246">
        <f t="shared" si="60"/>
        <v>0.21691133967828988</v>
      </c>
      <c r="AA58" s="247">
        <f>'EIA Escalation'!E34</f>
        <v>9.9574709546437212E-3</v>
      </c>
      <c r="AB58" s="238">
        <f t="shared" si="52"/>
        <v>199998361.56228757</v>
      </c>
      <c r="AC58" s="17">
        <f t="shared" si="58"/>
        <v>2145267.528700952</v>
      </c>
      <c r="AD58" s="244">
        <f t="shared" si="59"/>
        <v>0</v>
      </c>
      <c r="AE58" s="17">
        <f t="shared" si="53"/>
        <v>2145267.528700952</v>
      </c>
      <c r="AF58" s="245">
        <f>Z58*(1-$W$2)</f>
        <v>0.15183793777480289</v>
      </c>
      <c r="AG58" s="238">
        <f t="shared" si="54"/>
        <v>325732997.53320032</v>
      </c>
      <c r="AH58" s="257"/>
      <c r="AJ58" s="53"/>
      <c r="AK58" s="39"/>
      <c r="AL58" s="39"/>
      <c r="AM58" s="39"/>
      <c r="AN58" s="39"/>
      <c r="AO58" s="53"/>
      <c r="AP58" s="53"/>
      <c r="AQ58" s="53"/>
      <c r="AR58" s="39"/>
      <c r="AS58" s="32"/>
      <c r="AT58" s="39"/>
      <c r="AU58" s="53"/>
      <c r="AV58" s="53"/>
      <c r="AW58" s="32"/>
      <c r="AX58" s="53"/>
      <c r="AY58" s="53"/>
      <c r="AZ58" s="53"/>
      <c r="BA58" s="54"/>
      <c r="BB58" s="32"/>
    </row>
    <row r="59" spans="1:54" ht="16" thickBot="1">
      <c r="A59" s="6">
        <v>2040</v>
      </c>
      <c r="B59" s="66"/>
      <c r="C59" s="200">
        <f t="shared" si="55"/>
        <v>17524503041.989754</v>
      </c>
      <c r="D59" s="94">
        <f t="shared" si="48"/>
        <v>22800161428.912045</v>
      </c>
      <c r="E59" s="6">
        <v>2040</v>
      </c>
      <c r="F59" s="100">
        <v>0</v>
      </c>
      <c r="G59" s="97">
        <v>0</v>
      </c>
      <c r="H59" s="97">
        <f t="shared" si="61"/>
        <v>5646.04</v>
      </c>
      <c r="I59" s="97">
        <f t="shared" si="49"/>
        <v>5646.04</v>
      </c>
      <c r="J59" s="67">
        <f t="shared" si="50"/>
        <v>1411510000</v>
      </c>
      <c r="K59" s="60">
        <f>K58</f>
        <v>7500</v>
      </c>
      <c r="L59" s="62">
        <f t="shared" si="62"/>
        <v>32083560</v>
      </c>
      <c r="M59" s="98">
        <f t="shared" si="63"/>
        <v>1711056359.25</v>
      </c>
      <c r="O59" s="108">
        <v>7.0000000000000007E-2</v>
      </c>
      <c r="P59" s="94">
        <f t="shared" si="47"/>
        <v>1596011300.0238433</v>
      </c>
      <c r="R59" s="261">
        <f t="shared" si="56"/>
        <v>1829382247.1334176</v>
      </c>
      <c r="S59" s="187"/>
      <c r="T59" s="145">
        <f>T58+R59</f>
        <v>22653256628.979324</v>
      </c>
      <c r="U59" s="39"/>
      <c r="V59" s="239">
        <f t="shared" si="51"/>
        <v>2153092027.6722903</v>
      </c>
      <c r="W59" s="194">
        <v>2040</v>
      </c>
      <c r="X59" s="194"/>
      <c r="Y59" s="194"/>
      <c r="Z59" s="248">
        <f t="shared" si="60"/>
        <v>0.22122440952769049</v>
      </c>
      <c r="AA59" s="249">
        <f>'EIA Escalation'!E35</f>
        <v>1.9884021996256607E-2</v>
      </c>
      <c r="AB59" s="239">
        <f t="shared" si="52"/>
        <v>203998328.7935333</v>
      </c>
      <c r="AC59" s="68">
        <f t="shared" si="58"/>
        <v>2134541.1910574478</v>
      </c>
      <c r="AD59" s="250">
        <f t="shared" si="59"/>
        <v>0</v>
      </c>
      <c r="AE59" s="68">
        <f t="shared" si="53"/>
        <v>2134541.1910574478</v>
      </c>
      <c r="AF59" s="251">
        <f>Z59*(1-$W$2)</f>
        <v>0.15485708666938333</v>
      </c>
      <c r="AG59" s="239">
        <f t="shared" si="54"/>
        <v>330548830.22295195</v>
      </c>
      <c r="AH59" s="257"/>
      <c r="AJ59" s="32"/>
      <c r="AK59" s="53"/>
      <c r="AL59" s="53"/>
      <c r="AM59" s="32"/>
      <c r="AN59" s="39"/>
      <c r="AO59" s="32"/>
      <c r="AP59" s="32"/>
      <c r="AQ59" s="53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</row>
    <row r="60" spans="1:54">
      <c r="A60" s="7"/>
      <c r="P60" s="36"/>
      <c r="T60" s="7"/>
      <c r="U60" s="7"/>
      <c r="AJ60" s="46"/>
      <c r="AL60" s="46"/>
      <c r="AN60" s="52"/>
    </row>
    <row r="61" spans="1:54">
      <c r="A61" s="7"/>
      <c r="F61" t="s">
        <v>41</v>
      </c>
      <c r="O61" t="s">
        <v>338</v>
      </c>
      <c r="P61" s="11">
        <f>SUM('[1]Cost Cap Tool'!$P$72:$P$73)</f>
        <v>200103600</v>
      </c>
      <c r="Q61" s="30">
        <f>SUM(P72:P73)</f>
        <v>198464227.59999999</v>
      </c>
      <c r="R61" s="502">
        <f>Q61/P61</f>
        <v>0.99180738177623984</v>
      </c>
      <c r="S61" s="36"/>
      <c r="T61" s="7"/>
      <c r="U61" s="7"/>
    </row>
    <row r="62" spans="1:54">
      <c r="F62" t="s">
        <v>40</v>
      </c>
      <c r="O62" t="s">
        <v>337</v>
      </c>
      <c r="P62" s="2">
        <f>'[1]Cost Cap Tool'!$P$93</f>
        <v>400207200</v>
      </c>
      <c r="Q62" s="30">
        <f>SUM(P72:P74)</f>
        <v>430982363.96200001</v>
      </c>
      <c r="R62" s="502">
        <f>Q62/P62</f>
        <v>1.0768980767012688</v>
      </c>
      <c r="S62" s="36"/>
      <c r="T62" s="7"/>
      <c r="U62" s="7"/>
    </row>
    <row r="63" spans="1:54">
      <c r="F63" t="s">
        <v>63</v>
      </c>
      <c r="O63" t="s">
        <v>336</v>
      </c>
      <c r="P63" s="30">
        <v>200103600</v>
      </c>
      <c r="Q63" s="30">
        <f>P74</f>
        <v>232518136.36199999</v>
      </c>
      <c r="R63" s="36"/>
      <c r="S63" s="36"/>
      <c r="T63" s="7"/>
      <c r="U63" s="7"/>
    </row>
    <row r="64" spans="1:54">
      <c r="F64" t="s">
        <v>62</v>
      </c>
      <c r="O64" t="s">
        <v>43</v>
      </c>
      <c r="P64" s="158">
        <v>1154</v>
      </c>
      <c r="T64" s="21"/>
      <c r="U64" s="33" t="s">
        <v>29</v>
      </c>
      <c r="V64" s="159">
        <v>14</v>
      </c>
      <c r="AC64">
        <v>80000000</v>
      </c>
    </row>
    <row r="65" spans="1:53" s="21" customFormat="1" ht="16" thickBot="1">
      <c r="G65"/>
      <c r="H65"/>
      <c r="I65"/>
      <c r="J65"/>
      <c r="K65"/>
      <c r="L65"/>
      <c r="M65"/>
      <c r="N65"/>
      <c r="O65"/>
      <c r="P65"/>
      <c r="Q65"/>
      <c r="R65" s="36"/>
      <c r="S65" s="36"/>
      <c r="T65" s="7"/>
      <c r="U65" s="7"/>
      <c r="V65"/>
      <c r="W65"/>
      <c r="X65"/>
      <c r="Y65"/>
      <c r="Z65"/>
      <c r="AA65"/>
      <c r="AC65" s="21">
        <v>350000</v>
      </c>
    </row>
    <row r="66" spans="1:53" ht="16" thickBot="1">
      <c r="B66" s="465" t="s">
        <v>67</v>
      </c>
      <c r="C66" s="466"/>
      <c r="D66" s="466"/>
      <c r="E66" s="466"/>
      <c r="F66" s="466"/>
      <c r="G66" s="467"/>
      <c r="I66" s="465" t="s">
        <v>68</v>
      </c>
      <c r="J66" s="466"/>
      <c r="K66" s="466"/>
      <c r="L66" s="466"/>
      <c r="M66" s="467"/>
      <c r="O66" s="465" t="s">
        <v>69</v>
      </c>
      <c r="P66" s="466"/>
      <c r="Q66" s="466"/>
      <c r="R66" s="466"/>
      <c r="S66" s="466"/>
      <c r="T66" s="466"/>
      <c r="U66" s="466"/>
      <c r="V66" s="466"/>
      <c r="W66" s="467"/>
      <c r="X66" s="505"/>
      <c r="Y66" s="505"/>
      <c r="AA66" s="32"/>
      <c r="AB66" s="32"/>
      <c r="AC66" s="32">
        <f>AC65/AC64</f>
        <v>4.3750000000000004E-3</v>
      </c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</row>
    <row r="67" spans="1:53" ht="80">
      <c r="A67" s="122" t="s">
        <v>1</v>
      </c>
      <c r="B67" s="149" t="s">
        <v>78</v>
      </c>
      <c r="C67" s="37" t="s">
        <v>137</v>
      </c>
      <c r="D67" s="37" t="s">
        <v>141</v>
      </c>
      <c r="E67" s="37" t="s">
        <v>140</v>
      </c>
      <c r="F67" s="37" t="s">
        <v>139</v>
      </c>
      <c r="G67" s="110" t="s">
        <v>136</v>
      </c>
      <c r="H67" s="123" t="s">
        <v>1</v>
      </c>
      <c r="I67" s="118" t="s">
        <v>44</v>
      </c>
      <c r="J67" s="119" t="s">
        <v>45</v>
      </c>
      <c r="K67" s="119" t="s">
        <v>46</v>
      </c>
      <c r="L67" s="119" t="s">
        <v>47</v>
      </c>
      <c r="M67" s="162" t="s">
        <v>48</v>
      </c>
      <c r="N67" s="123" t="s">
        <v>1</v>
      </c>
      <c r="O67" s="115" t="s">
        <v>179</v>
      </c>
      <c r="P67" s="37" t="s">
        <v>182</v>
      </c>
      <c r="Q67" s="38" t="s">
        <v>345</v>
      </c>
      <c r="R67" s="38" t="s">
        <v>42</v>
      </c>
      <c r="S67" s="38"/>
      <c r="T67" s="38" t="s">
        <v>30</v>
      </c>
      <c r="U67" s="167" t="s">
        <v>49</v>
      </c>
      <c r="V67" s="47" t="s">
        <v>50</v>
      </c>
      <c r="W67" s="157" t="s">
        <v>134</v>
      </c>
      <c r="X67" s="506"/>
      <c r="Y67" s="506"/>
      <c r="Z67" s="262" t="s">
        <v>112</v>
      </c>
      <c r="AI67" s="13"/>
      <c r="AJ67" s="13"/>
      <c r="AK67" s="12"/>
    </row>
    <row r="68" spans="1:53">
      <c r="A68">
        <v>2019</v>
      </c>
      <c r="B68" s="151"/>
      <c r="C68" s="7">
        <v>0</v>
      </c>
      <c r="D68" s="7">
        <v>0</v>
      </c>
      <c r="E68" s="7">
        <v>0</v>
      </c>
      <c r="F68" s="7">
        <v>0</v>
      </c>
      <c r="G68" s="16">
        <v>0</v>
      </c>
      <c r="H68" s="40">
        <v>2019</v>
      </c>
      <c r="I68" s="4">
        <v>0</v>
      </c>
      <c r="J68" s="7">
        <v>0</v>
      </c>
      <c r="K68" s="7">
        <v>0</v>
      </c>
      <c r="L68" s="7">
        <v>0</v>
      </c>
      <c r="M68" s="16">
        <v>0</v>
      </c>
      <c r="N68" s="40">
        <v>2019</v>
      </c>
      <c r="O68" s="5">
        <f>SUM(I68:M68)</f>
        <v>0</v>
      </c>
      <c r="P68" s="7"/>
      <c r="Q68" s="11"/>
      <c r="R68" s="32"/>
      <c r="S68" s="32"/>
      <c r="T68" s="32"/>
      <c r="U68" s="152"/>
      <c r="V68" s="120">
        <f t="shared" ref="V68:V89" si="65">R38-U68</f>
        <v>562954123.47083569</v>
      </c>
      <c r="W68" s="154">
        <f>V68</f>
        <v>562954123.47083569</v>
      </c>
      <c r="X68" s="507"/>
      <c r="Y68" s="507"/>
      <c r="Z68" s="263">
        <v>308481289.89614952</v>
      </c>
    </row>
    <row r="69" spans="1:53">
      <c r="A69">
        <v>2020</v>
      </c>
      <c r="B69" s="81"/>
      <c r="C69" s="7">
        <v>0</v>
      </c>
      <c r="D69" s="7">
        <v>0</v>
      </c>
      <c r="E69" s="7">
        <v>0</v>
      </c>
      <c r="F69" s="7">
        <v>0</v>
      </c>
      <c r="G69" s="16">
        <v>0</v>
      </c>
      <c r="H69" s="40">
        <v>2020</v>
      </c>
      <c r="I69" s="4">
        <v>0</v>
      </c>
      <c r="J69" s="7">
        <v>0</v>
      </c>
      <c r="K69" s="7">
        <v>0</v>
      </c>
      <c r="L69" s="7">
        <v>0</v>
      </c>
      <c r="M69" s="16">
        <v>0</v>
      </c>
      <c r="N69" s="40">
        <v>2020</v>
      </c>
      <c r="O69" s="5">
        <f>O68+SUM(I69:M69)</f>
        <v>0</v>
      </c>
      <c r="P69" s="17">
        <f>P68+(I68*$P$64*C68)+(J68*$P$64*D68)+(K68*$P$64*E68)+(L68*$P$64*F68)+(M68*$P$64*G68)</f>
        <v>0</v>
      </c>
      <c r="Q69" s="11"/>
      <c r="R69" s="54">
        <f>(0.00083*(O68*0.42)*O11)</f>
        <v>0</v>
      </c>
      <c r="S69" s="54"/>
      <c r="T69" s="9">
        <f>O68*$P$64*12</f>
        <v>0</v>
      </c>
      <c r="U69" s="51">
        <f t="shared" ref="U69:U89" si="66">P69-(Q69+R69+T69)</f>
        <v>0</v>
      </c>
      <c r="V69" s="120">
        <f t="shared" si="65"/>
        <v>456113632.64406389</v>
      </c>
      <c r="W69" s="155">
        <f>V69+W68</f>
        <v>1019067756.1148996</v>
      </c>
      <c r="X69" s="508"/>
      <c r="Y69" s="508"/>
      <c r="Z69" s="264">
        <v>478253493.65072608</v>
      </c>
      <c r="AI69" s="41"/>
      <c r="AJ69" s="41"/>
      <c r="AK69" s="42"/>
    </row>
    <row r="70" spans="1:53">
      <c r="A70">
        <v>2021</v>
      </c>
      <c r="B70" s="81"/>
      <c r="C70" s="7">
        <v>0</v>
      </c>
      <c r="D70" s="7">
        <v>0</v>
      </c>
      <c r="E70" s="7">
        <v>0</v>
      </c>
      <c r="F70" s="7">
        <v>0</v>
      </c>
      <c r="G70" s="16">
        <v>0</v>
      </c>
      <c r="H70" s="44">
        <v>2021</v>
      </c>
      <c r="I70" s="116">
        <v>0</v>
      </c>
      <c r="J70" s="55">
        <v>0</v>
      </c>
      <c r="K70" s="55">
        <v>0</v>
      </c>
      <c r="L70" s="55">
        <v>0</v>
      </c>
      <c r="M70" s="117">
        <v>0</v>
      </c>
      <c r="N70" s="44">
        <v>2021</v>
      </c>
      <c r="O70" s="5">
        <f>O69+SUM(I70:M70)</f>
        <v>0</v>
      </c>
      <c r="P70" s="17">
        <f>P69+(I69*$P$64*C69)+(J69*$P$64*D69)+(K69*$P$64*E69)+(L69*$P$64*F69)+(M69*$P$64*G69)</f>
        <v>0</v>
      </c>
      <c r="Q70" s="11"/>
      <c r="R70" s="54">
        <f>(0.00083*(O69*0.42)*O12)</f>
        <v>0</v>
      </c>
      <c r="S70" s="54"/>
      <c r="T70" s="9">
        <f>O69*$P$64*$V$64</f>
        <v>0</v>
      </c>
      <c r="U70" s="51">
        <f t="shared" si="66"/>
        <v>0</v>
      </c>
      <c r="V70" s="120">
        <f t="shared" si="65"/>
        <v>417159794.03335708</v>
      </c>
      <c r="W70" s="155">
        <f t="shared" ref="W70:W89" si="67">V70+W69</f>
        <v>1436227550.1482568</v>
      </c>
      <c r="X70" s="508"/>
      <c r="Y70" s="508"/>
      <c r="Z70" s="264">
        <v>617405986.59299171</v>
      </c>
      <c r="AA70" s="40"/>
      <c r="AI70" s="41"/>
      <c r="AJ70" s="41"/>
      <c r="AK70" s="42"/>
    </row>
    <row r="71" spans="1:53">
      <c r="A71">
        <v>2022</v>
      </c>
      <c r="B71" s="81">
        <v>1</v>
      </c>
      <c r="C71" s="522">
        <f>'Incentive Detail'!B25</f>
        <v>85</v>
      </c>
      <c r="D71" s="522">
        <f>'Incentive Detail'!C25</f>
        <v>132</v>
      </c>
      <c r="E71" s="522">
        <f>'Incentive Detail'!D25</f>
        <v>90</v>
      </c>
      <c r="F71" s="522">
        <f>'Incentive Detail'!E25</f>
        <v>105.75</v>
      </c>
      <c r="G71" s="523">
        <f>'Incentive Detail'!F25</f>
        <v>87.25</v>
      </c>
      <c r="H71" s="44">
        <v>2022</v>
      </c>
      <c r="I71" s="116">
        <v>0</v>
      </c>
      <c r="J71" s="55">
        <v>0</v>
      </c>
      <c r="K71" s="55">
        <v>150</v>
      </c>
      <c r="L71" s="55">
        <v>320</v>
      </c>
      <c r="M71" s="117">
        <v>80</v>
      </c>
      <c r="N71" s="44">
        <v>2022</v>
      </c>
      <c r="O71" s="5">
        <f>O70+SUM(I71:M71)</f>
        <v>550</v>
      </c>
      <c r="P71" s="17">
        <f>P70+(I70*$P$64*C70)+(J70*$P$64*D70)+(K70*$P$64*E70)+(L70*$P$64*F70)+(M70*$P$64*G70)</f>
        <v>0</v>
      </c>
      <c r="Q71" s="11"/>
      <c r="R71" s="54">
        <f>(0.00083*(O70*0.42)*O13)</f>
        <v>0</v>
      </c>
      <c r="S71" s="54"/>
      <c r="T71" s="9">
        <f>O70*$P$64*$V$64</f>
        <v>0</v>
      </c>
      <c r="U71" s="51">
        <f t="shared" si="66"/>
        <v>0</v>
      </c>
      <c r="V71" s="120">
        <f t="shared" si="65"/>
        <v>252648477.50187325</v>
      </c>
      <c r="W71" s="155">
        <f t="shared" si="67"/>
        <v>1688876027.65013</v>
      </c>
      <c r="X71" s="508"/>
      <c r="Y71" s="508"/>
      <c r="Z71" s="264">
        <v>517475668.9676069</v>
      </c>
      <c r="AA71" s="40"/>
      <c r="AI71" s="41"/>
      <c r="AJ71" s="41"/>
      <c r="AK71" s="42"/>
    </row>
    <row r="72" spans="1:53">
      <c r="A72">
        <v>2023</v>
      </c>
      <c r="B72" s="81">
        <v>1</v>
      </c>
      <c r="C72" s="111">
        <f t="shared" ref="C72:C89" si="68">C71*$B72</f>
        <v>85</v>
      </c>
      <c r="D72" s="111">
        <f t="shared" ref="D72:D89" si="69">D71*$B72</f>
        <v>132</v>
      </c>
      <c r="E72" s="111">
        <f t="shared" ref="E72:E89" si="70">E71*$B72</f>
        <v>90</v>
      </c>
      <c r="F72" s="111">
        <f t="shared" ref="F72:F89" si="71">F71*$B72</f>
        <v>105.75</v>
      </c>
      <c r="G72" s="112">
        <f t="shared" ref="G72:G89" si="72">G71*$B72</f>
        <v>87.25</v>
      </c>
      <c r="H72" s="44">
        <v>2023</v>
      </c>
      <c r="I72" s="116">
        <v>20</v>
      </c>
      <c r="J72" s="55">
        <v>25</v>
      </c>
      <c r="K72" s="55">
        <v>175</v>
      </c>
      <c r="L72" s="55">
        <f t="shared" ref="L72:L89" si="73">ROUND(L71*L$93,0)</f>
        <v>336</v>
      </c>
      <c r="M72" s="117">
        <f t="shared" ref="M72:M89" si="74">ROUND(M71*M$93,0)</f>
        <v>84</v>
      </c>
      <c r="N72" s="44">
        <v>2023</v>
      </c>
      <c r="O72" s="5">
        <f>O71*0.995+SUM(I72:M72)</f>
        <v>1187.25</v>
      </c>
      <c r="P72" s="17">
        <f>P71*0.995+(I71*$P$64*C71)+(J71*$P$64*D71)+(K71*$P$64*E71)+(L71*$P$64*F71)+(M71*$P$64*G71)</f>
        <v>62685280</v>
      </c>
      <c r="Q72" s="11"/>
      <c r="R72" s="9">
        <f>($Q$7*(O71*0.42)*O14)</f>
        <v>17741162.000085674</v>
      </c>
      <c r="S72" s="54"/>
      <c r="T72" s="9">
        <f>O71*$P$64*12</f>
        <v>7616400</v>
      </c>
      <c r="U72" s="51">
        <f t="shared" si="66"/>
        <v>37327717.999914326</v>
      </c>
      <c r="V72" s="120">
        <f t="shared" si="65"/>
        <v>224514981.92172918</v>
      </c>
      <c r="W72" s="155">
        <f t="shared" si="67"/>
        <v>1913391009.5718591</v>
      </c>
      <c r="X72" s="508"/>
      <c r="Y72" s="508"/>
      <c r="Z72" s="264">
        <v>384389495.19463217</v>
      </c>
      <c r="AA72" s="49"/>
      <c r="AI72" s="41"/>
      <c r="AJ72" s="41"/>
      <c r="AK72" s="42"/>
    </row>
    <row r="73" spans="1:53">
      <c r="A73">
        <v>2024</v>
      </c>
      <c r="B73" s="81">
        <v>1</v>
      </c>
      <c r="C73" s="111">
        <f t="shared" si="68"/>
        <v>85</v>
      </c>
      <c r="D73" s="111">
        <f t="shared" si="69"/>
        <v>132</v>
      </c>
      <c r="E73" s="111">
        <f t="shared" si="70"/>
        <v>90</v>
      </c>
      <c r="F73" s="111">
        <f t="shared" si="71"/>
        <v>105.75</v>
      </c>
      <c r="G73" s="112">
        <f t="shared" si="72"/>
        <v>87.25</v>
      </c>
      <c r="H73" s="44">
        <v>2024</v>
      </c>
      <c r="I73" s="116">
        <v>50</v>
      </c>
      <c r="J73" s="55">
        <v>130</v>
      </c>
      <c r="K73" s="55">
        <v>200</v>
      </c>
      <c r="L73" s="55">
        <f t="shared" si="73"/>
        <v>353</v>
      </c>
      <c r="M73" s="117">
        <f t="shared" si="74"/>
        <v>88</v>
      </c>
      <c r="N73" s="44">
        <v>2024</v>
      </c>
      <c r="O73" s="5">
        <f t="shared" ref="O73:O89" si="75">O72*0.995+SUM(I73:M73)</f>
        <v>2002.31375</v>
      </c>
      <c r="P73" s="17">
        <f t="shared" ref="P73:P89" si="76">P72*0.995+(I72*$P$64*C72)+(J72*$P$64*D72)+(K72*$P$64*E72)+(L72*$P$64*F72)+(M72*$P$64*G72)</f>
        <v>135778947.59999999</v>
      </c>
      <c r="Q73" s="11"/>
      <c r="R73" s="9">
        <f t="shared" ref="R73:R89" si="77">($Q$7*(O72*0.42)*O15)</f>
        <v>38488201.013681322</v>
      </c>
      <c r="S73" s="54"/>
      <c r="T73" s="9">
        <f t="shared" ref="T73:T89" si="78">O72*$P$64*$V$64</f>
        <v>19181211</v>
      </c>
      <c r="U73" s="51">
        <f t="shared" si="66"/>
        <v>78109535.586318672</v>
      </c>
      <c r="V73" s="120">
        <f t="shared" si="65"/>
        <v>256429080.88389033</v>
      </c>
      <c r="W73" s="155">
        <f t="shared" si="67"/>
        <v>2169820090.4557495</v>
      </c>
      <c r="X73" s="508"/>
      <c r="Y73" s="508"/>
      <c r="Z73" s="264">
        <v>213081212.87869343</v>
      </c>
      <c r="AA73" s="49"/>
      <c r="AI73" s="41"/>
      <c r="AJ73" s="41"/>
      <c r="AK73" s="42"/>
    </row>
    <row r="74" spans="1:53">
      <c r="A74">
        <v>2025</v>
      </c>
      <c r="B74" s="81">
        <v>0.9</v>
      </c>
      <c r="C74" s="111">
        <f t="shared" si="68"/>
        <v>76.5</v>
      </c>
      <c r="D74" s="111">
        <f t="shared" si="69"/>
        <v>118.8</v>
      </c>
      <c r="E74" s="111">
        <f t="shared" si="70"/>
        <v>81</v>
      </c>
      <c r="F74" s="111">
        <f t="shared" si="71"/>
        <v>95.174999999999997</v>
      </c>
      <c r="G74" s="112">
        <f t="shared" si="72"/>
        <v>78.525000000000006</v>
      </c>
      <c r="H74" s="40">
        <v>2025</v>
      </c>
      <c r="I74" s="116">
        <f t="shared" ref="I72:I89" si="79">ROUND(I73*I$93,0)</f>
        <v>50</v>
      </c>
      <c r="J74" s="55">
        <f t="shared" ref="J72:J89" si="80">ROUND(J73*J$93,0)</f>
        <v>130</v>
      </c>
      <c r="K74" s="55">
        <f t="shared" ref="K74:K89" si="81">ROUND(K73*$I$93,0)</f>
        <v>200</v>
      </c>
      <c r="L74" s="55">
        <f t="shared" si="73"/>
        <v>371</v>
      </c>
      <c r="M74" s="117">
        <f t="shared" si="74"/>
        <v>92</v>
      </c>
      <c r="N74" s="40">
        <v>2025</v>
      </c>
      <c r="O74" s="5">
        <f t="shared" si="75"/>
        <v>2835.3021812500001</v>
      </c>
      <c r="P74" s="353">
        <f>P73*0.995+(I73*$P$64*C73)+(J73*$P$64*D73)+(K73*$P$64*E73)+(L73*$P$64*F73)+(M73*$P$64*G73)</f>
        <v>232518136.36199999</v>
      </c>
      <c r="Q74" s="11"/>
      <c r="R74" s="9">
        <f t="shared" si="77"/>
        <v>65235444.407639787</v>
      </c>
      <c r="S74" s="54"/>
      <c r="T74" s="9">
        <f t="shared" si="78"/>
        <v>32349380.945</v>
      </c>
      <c r="U74" s="51">
        <f t="shared" si="66"/>
        <v>134933311.00936019</v>
      </c>
      <c r="V74" s="120">
        <f t="shared" si="65"/>
        <v>281324163.91140842</v>
      </c>
      <c r="W74" s="155">
        <f t="shared" si="67"/>
        <v>2451144254.3671579</v>
      </c>
      <c r="X74" s="508"/>
      <c r="Y74" s="508"/>
      <c r="Z74" s="264">
        <v>10586029.587925971</v>
      </c>
      <c r="AA74" s="49"/>
      <c r="AI74" s="41"/>
      <c r="AJ74" s="41"/>
      <c r="AK74" s="42"/>
    </row>
    <row r="75" spans="1:53">
      <c r="A75">
        <v>2026</v>
      </c>
      <c r="B75" s="81">
        <f>B72</f>
        <v>1</v>
      </c>
      <c r="C75" s="111">
        <f t="shared" si="68"/>
        <v>76.5</v>
      </c>
      <c r="D75" s="111">
        <f t="shared" si="69"/>
        <v>118.8</v>
      </c>
      <c r="E75" s="111">
        <f t="shared" si="70"/>
        <v>81</v>
      </c>
      <c r="F75" s="111">
        <f t="shared" si="71"/>
        <v>95.174999999999997</v>
      </c>
      <c r="G75" s="112">
        <f t="shared" si="72"/>
        <v>78.525000000000006</v>
      </c>
      <c r="H75" s="40">
        <v>2026</v>
      </c>
      <c r="I75" s="116">
        <f t="shared" si="79"/>
        <v>50</v>
      </c>
      <c r="J75" s="55">
        <f t="shared" si="80"/>
        <v>130</v>
      </c>
      <c r="K75" s="55">
        <f t="shared" si="81"/>
        <v>200</v>
      </c>
      <c r="L75" s="55">
        <f t="shared" si="73"/>
        <v>390</v>
      </c>
      <c r="M75" s="117">
        <f t="shared" si="74"/>
        <v>97</v>
      </c>
      <c r="N75" s="40">
        <v>2026</v>
      </c>
      <c r="O75" s="5">
        <f t="shared" si="75"/>
        <v>3688.1256703437502</v>
      </c>
      <c r="P75" s="17">
        <f t="shared" si="76"/>
        <v>321371267.33018994</v>
      </c>
      <c r="Q75" s="11"/>
      <c r="R75" s="9">
        <f t="shared" si="77"/>
        <v>92836104.637903616</v>
      </c>
      <c r="S75" s="54"/>
      <c r="T75" s="9">
        <f t="shared" si="78"/>
        <v>45807142.040275</v>
      </c>
      <c r="U75" s="51">
        <f t="shared" si="66"/>
        <v>182728020.65201133</v>
      </c>
      <c r="V75" s="120">
        <f t="shared" si="65"/>
        <v>337532325.74647588</v>
      </c>
      <c r="W75" s="155">
        <f t="shared" si="67"/>
        <v>2788676580.1136336</v>
      </c>
      <c r="X75" s="508"/>
      <c r="Y75" s="508"/>
      <c r="Z75" s="264">
        <v>-120636257.28088841</v>
      </c>
      <c r="AA75" s="49"/>
      <c r="AI75" s="41"/>
      <c r="AJ75" s="41"/>
      <c r="AK75" s="42"/>
    </row>
    <row r="76" spans="1:53">
      <c r="A76">
        <v>2027</v>
      </c>
      <c r="B76" s="81">
        <f t="shared" ref="B76:B89" si="82">B73</f>
        <v>1</v>
      </c>
      <c r="C76" s="111">
        <f t="shared" si="68"/>
        <v>76.5</v>
      </c>
      <c r="D76" s="111">
        <f t="shared" si="69"/>
        <v>118.8</v>
      </c>
      <c r="E76" s="111">
        <f t="shared" si="70"/>
        <v>81</v>
      </c>
      <c r="F76" s="111">
        <f t="shared" si="71"/>
        <v>95.174999999999997</v>
      </c>
      <c r="G76" s="112">
        <f t="shared" si="72"/>
        <v>78.525000000000006</v>
      </c>
      <c r="H76" s="40">
        <v>2027</v>
      </c>
      <c r="I76" s="116">
        <f t="shared" si="79"/>
        <v>50</v>
      </c>
      <c r="J76" s="55">
        <f t="shared" si="80"/>
        <v>130</v>
      </c>
      <c r="K76" s="55">
        <f t="shared" si="81"/>
        <v>200</v>
      </c>
      <c r="L76" s="55">
        <f t="shared" si="73"/>
        <v>410</v>
      </c>
      <c r="M76" s="117">
        <f t="shared" si="74"/>
        <v>102</v>
      </c>
      <c r="N76" s="40">
        <v>2027</v>
      </c>
      <c r="O76" s="5">
        <f t="shared" si="75"/>
        <v>4561.685041992032</v>
      </c>
      <c r="P76" s="17">
        <f t="shared" si="76"/>
        <v>412320028.94353896</v>
      </c>
      <c r="Q76" s="11"/>
      <c r="R76" s="9">
        <f t="shared" si="77"/>
        <v>121363845.8110715</v>
      </c>
      <c r="S76" s="54"/>
      <c r="T76" s="9">
        <f t="shared" si="78"/>
        <v>59585358.330073632</v>
      </c>
      <c r="U76" s="51">
        <f t="shared" si="66"/>
        <v>231370824.80239382</v>
      </c>
      <c r="V76" s="120">
        <f t="shared" si="65"/>
        <v>389634568.57140863</v>
      </c>
      <c r="W76" s="155">
        <f t="shared" si="67"/>
        <v>3178311148.6850424</v>
      </c>
      <c r="X76" s="508"/>
      <c r="Y76" s="508"/>
      <c r="Z76" s="264">
        <v>-145377223.01889774</v>
      </c>
      <c r="AA76" s="40"/>
      <c r="AI76" s="41"/>
      <c r="AJ76" s="41"/>
      <c r="AK76" s="42"/>
    </row>
    <row r="77" spans="1:53">
      <c r="A77">
        <v>2028</v>
      </c>
      <c r="B77" s="81">
        <f t="shared" si="82"/>
        <v>0.9</v>
      </c>
      <c r="C77" s="111">
        <f t="shared" si="68"/>
        <v>68.850000000000009</v>
      </c>
      <c r="D77" s="111">
        <f t="shared" si="69"/>
        <v>106.92</v>
      </c>
      <c r="E77" s="111">
        <f t="shared" si="70"/>
        <v>72.900000000000006</v>
      </c>
      <c r="F77" s="111">
        <f t="shared" si="71"/>
        <v>85.657499999999999</v>
      </c>
      <c r="G77" s="112">
        <f t="shared" si="72"/>
        <v>70.672500000000014</v>
      </c>
      <c r="H77" s="40">
        <v>2028</v>
      </c>
      <c r="I77" s="116">
        <f t="shared" si="79"/>
        <v>50</v>
      </c>
      <c r="J77" s="55">
        <f t="shared" si="80"/>
        <v>130</v>
      </c>
      <c r="K77" s="55">
        <f t="shared" si="81"/>
        <v>200</v>
      </c>
      <c r="L77" s="55">
        <f t="shared" si="73"/>
        <v>431</v>
      </c>
      <c r="M77" s="117">
        <f t="shared" si="74"/>
        <v>107</v>
      </c>
      <c r="N77" s="40">
        <v>2028</v>
      </c>
      <c r="O77" s="5">
        <f t="shared" si="75"/>
        <v>5456.8766167820722</v>
      </c>
      <c r="P77" s="17">
        <f t="shared" si="76"/>
        <v>505463774.99882126</v>
      </c>
      <c r="Q77" s="11"/>
      <c r="R77" s="9">
        <f t="shared" si="77"/>
        <v>150860303.58165884</v>
      </c>
      <c r="S77" s="54"/>
      <c r="T77" s="9">
        <f t="shared" si="78"/>
        <v>73698583.53842327</v>
      </c>
      <c r="U77" s="51">
        <f t="shared" si="66"/>
        <v>280904887.87873912</v>
      </c>
      <c r="V77" s="120">
        <f t="shared" si="65"/>
        <v>493522641.3885895</v>
      </c>
      <c r="W77" s="155">
        <f t="shared" si="67"/>
        <v>3671833790.0736318</v>
      </c>
      <c r="X77" s="508"/>
      <c r="Y77" s="508"/>
      <c r="Z77" s="264">
        <v>-54205990.330322415</v>
      </c>
      <c r="AA77" s="40"/>
      <c r="AI77" s="41"/>
      <c r="AJ77" s="41"/>
      <c r="AK77" s="42"/>
    </row>
    <row r="78" spans="1:53">
      <c r="A78">
        <v>2029</v>
      </c>
      <c r="B78" s="81">
        <f t="shared" si="82"/>
        <v>1</v>
      </c>
      <c r="C78" s="111">
        <f t="shared" si="68"/>
        <v>68.850000000000009</v>
      </c>
      <c r="D78" s="111">
        <f t="shared" si="69"/>
        <v>106.92</v>
      </c>
      <c r="E78" s="111">
        <f t="shared" si="70"/>
        <v>72.900000000000006</v>
      </c>
      <c r="F78" s="111">
        <f t="shared" si="71"/>
        <v>85.657499999999999</v>
      </c>
      <c r="G78" s="112">
        <f t="shared" si="72"/>
        <v>70.672500000000014</v>
      </c>
      <c r="H78" s="40">
        <v>2029</v>
      </c>
      <c r="I78" s="116">
        <f t="shared" si="79"/>
        <v>50</v>
      </c>
      <c r="J78" s="55">
        <f t="shared" si="80"/>
        <v>130</v>
      </c>
      <c r="K78" s="55">
        <f t="shared" si="81"/>
        <v>200</v>
      </c>
      <c r="L78" s="55">
        <f t="shared" si="73"/>
        <v>453</v>
      </c>
      <c r="M78" s="117">
        <f t="shared" si="74"/>
        <v>112</v>
      </c>
      <c r="N78" s="40">
        <v>2029</v>
      </c>
      <c r="O78" s="5">
        <f t="shared" si="75"/>
        <v>6374.5922336981621</v>
      </c>
      <c r="P78" s="17">
        <f t="shared" si="76"/>
        <v>591104871.88382709</v>
      </c>
      <c r="Q78" s="11"/>
      <c r="R78" s="9">
        <f t="shared" si="77"/>
        <v>181367671.31322715</v>
      </c>
      <c r="S78" s="54"/>
      <c r="T78" s="9">
        <f t="shared" si="78"/>
        <v>88161298.62073116</v>
      </c>
      <c r="U78" s="51">
        <f t="shared" si="66"/>
        <v>321575901.9498688</v>
      </c>
      <c r="V78" s="120">
        <f t="shared" si="65"/>
        <v>595394294.85611045</v>
      </c>
      <c r="W78" s="155">
        <f>V78+W77</f>
        <v>4267228084.9297423</v>
      </c>
      <c r="X78" s="508"/>
      <c r="Y78" s="508"/>
      <c r="Z78" s="264">
        <v>130281589.92554697</v>
      </c>
      <c r="AA78" s="40"/>
      <c r="AI78" s="41"/>
      <c r="AJ78" s="41"/>
      <c r="AK78" s="42"/>
    </row>
    <row r="79" spans="1:53" s="192" customFormat="1">
      <c r="A79" s="192">
        <v>2030</v>
      </c>
      <c r="B79" s="381">
        <f t="shared" si="82"/>
        <v>1</v>
      </c>
      <c r="C79" s="382">
        <f t="shared" si="68"/>
        <v>68.850000000000009</v>
      </c>
      <c r="D79" s="382">
        <f t="shared" si="69"/>
        <v>106.92</v>
      </c>
      <c r="E79" s="382">
        <f t="shared" si="70"/>
        <v>72.900000000000006</v>
      </c>
      <c r="F79" s="382">
        <f t="shared" si="71"/>
        <v>85.657499999999999</v>
      </c>
      <c r="G79" s="383">
        <f t="shared" si="72"/>
        <v>70.672500000000014</v>
      </c>
      <c r="H79" s="185">
        <v>2030</v>
      </c>
      <c r="I79" s="384">
        <f t="shared" si="79"/>
        <v>50</v>
      </c>
      <c r="J79" s="385">
        <f t="shared" si="80"/>
        <v>130</v>
      </c>
      <c r="K79" s="385">
        <f t="shared" si="81"/>
        <v>200</v>
      </c>
      <c r="L79" s="385">
        <f t="shared" si="73"/>
        <v>476</v>
      </c>
      <c r="M79" s="386">
        <f t="shared" si="74"/>
        <v>118</v>
      </c>
      <c r="N79" s="185">
        <v>2030</v>
      </c>
      <c r="O79" s="326">
        <f t="shared" si="75"/>
        <v>7316.7192725296709</v>
      </c>
      <c r="P79" s="353">
        <f t="shared" si="76"/>
        <v>678900216.21940792</v>
      </c>
      <c r="Q79" s="387"/>
      <c r="R79" s="203">
        <f t="shared" si="77"/>
        <v>212928705.4372496</v>
      </c>
      <c r="S79" s="388"/>
      <c r="T79" s="203">
        <f t="shared" si="78"/>
        <v>102987912.12762751</v>
      </c>
      <c r="U79" s="389">
        <f t="shared" si="66"/>
        <v>362983598.65453082</v>
      </c>
      <c r="V79" s="390">
        <f t="shared" si="65"/>
        <v>703574504.63159752</v>
      </c>
      <c r="W79" s="391">
        <f t="shared" si="67"/>
        <v>4970802589.5613403</v>
      </c>
      <c r="X79" s="509"/>
      <c r="Y79" s="509"/>
      <c r="Z79" s="392">
        <v>227967345.07810751</v>
      </c>
      <c r="AA79" s="185"/>
      <c r="AI79" s="393"/>
      <c r="AJ79" s="393"/>
      <c r="AK79" s="394"/>
    </row>
    <row r="80" spans="1:53">
      <c r="A80">
        <v>2031</v>
      </c>
      <c r="B80" s="81">
        <f t="shared" si="82"/>
        <v>0.9</v>
      </c>
      <c r="C80" s="111">
        <f t="shared" si="68"/>
        <v>61.965000000000011</v>
      </c>
      <c r="D80" s="111">
        <f t="shared" si="69"/>
        <v>96.228000000000009</v>
      </c>
      <c r="E80" s="111">
        <f t="shared" si="70"/>
        <v>65.610000000000014</v>
      </c>
      <c r="F80" s="111">
        <f t="shared" si="71"/>
        <v>77.091750000000005</v>
      </c>
      <c r="G80" s="112">
        <f t="shared" si="72"/>
        <v>63.605250000000012</v>
      </c>
      <c r="H80" s="43">
        <v>2031</v>
      </c>
      <c r="I80" s="116">
        <f t="shared" si="79"/>
        <v>50</v>
      </c>
      <c r="J80" s="55">
        <f t="shared" si="80"/>
        <v>130</v>
      </c>
      <c r="K80" s="55">
        <f t="shared" si="81"/>
        <v>200</v>
      </c>
      <c r="L80" s="55">
        <f t="shared" si="73"/>
        <v>500</v>
      </c>
      <c r="M80" s="117">
        <f t="shared" si="74"/>
        <v>124</v>
      </c>
      <c r="N80" s="43">
        <v>2031</v>
      </c>
      <c r="O80" s="5">
        <f t="shared" si="75"/>
        <v>8284.1356761670213</v>
      </c>
      <c r="P80" s="17">
        <f t="shared" si="76"/>
        <v>769019441.58831084</v>
      </c>
      <c r="Q80" s="11"/>
      <c r="R80" s="9">
        <f t="shared" si="77"/>
        <v>245620300.58711869</v>
      </c>
      <c r="S80" s="54"/>
      <c r="T80" s="9">
        <f t="shared" si="78"/>
        <v>118208916.56698936</v>
      </c>
      <c r="U80" s="51">
        <f t="shared" si="66"/>
        <v>405190224.43420279</v>
      </c>
      <c r="V80" s="120">
        <f t="shared" si="65"/>
        <v>801059538.06559145</v>
      </c>
      <c r="W80" s="155">
        <f t="shared" si="67"/>
        <v>5771862127.6269321</v>
      </c>
      <c r="X80" s="508"/>
      <c r="Y80" s="508"/>
      <c r="Z80" s="264">
        <v>379670943.08511794</v>
      </c>
      <c r="AA80" s="40"/>
      <c r="AI80" s="41"/>
      <c r="AJ80" s="41"/>
      <c r="AK80" s="42"/>
    </row>
    <row r="81" spans="1:53">
      <c r="A81">
        <v>2032</v>
      </c>
      <c r="B81" s="81">
        <f t="shared" si="82"/>
        <v>1</v>
      </c>
      <c r="C81" s="111">
        <f t="shared" si="68"/>
        <v>61.965000000000011</v>
      </c>
      <c r="D81" s="111">
        <f t="shared" si="69"/>
        <v>96.228000000000009</v>
      </c>
      <c r="E81" s="111">
        <f t="shared" si="70"/>
        <v>65.610000000000014</v>
      </c>
      <c r="F81" s="111">
        <f t="shared" si="71"/>
        <v>77.091750000000005</v>
      </c>
      <c r="G81" s="112">
        <f t="shared" si="72"/>
        <v>63.605250000000012</v>
      </c>
      <c r="H81" s="43">
        <v>2032</v>
      </c>
      <c r="I81" s="116">
        <f t="shared" si="79"/>
        <v>50</v>
      </c>
      <c r="J81" s="55">
        <f t="shared" si="80"/>
        <v>130</v>
      </c>
      <c r="K81" s="55">
        <f t="shared" si="81"/>
        <v>200</v>
      </c>
      <c r="L81" s="55">
        <f t="shared" si="73"/>
        <v>525</v>
      </c>
      <c r="M81" s="117">
        <f t="shared" si="74"/>
        <v>130</v>
      </c>
      <c r="N81" s="43">
        <v>2032</v>
      </c>
      <c r="O81" s="5">
        <f t="shared" si="75"/>
        <v>9277.7149977861864</v>
      </c>
      <c r="P81" s="17">
        <f t="shared" si="76"/>
        <v>851912234.04436922</v>
      </c>
      <c r="Q81" s="11"/>
      <c r="R81" s="9">
        <f t="shared" si="77"/>
        <v>279486690.44015837</v>
      </c>
      <c r="S81" s="54"/>
      <c r="T81" s="9">
        <f t="shared" si="78"/>
        <v>133838495.98415439</v>
      </c>
      <c r="U81" s="51">
        <f t="shared" si="66"/>
        <v>438587047.62005645</v>
      </c>
      <c r="V81" s="120">
        <f t="shared" si="65"/>
        <v>867094938.49176335</v>
      </c>
      <c r="W81" s="155">
        <f t="shared" si="67"/>
        <v>6638957066.1186953</v>
      </c>
      <c r="X81" s="508"/>
      <c r="Y81" s="508"/>
      <c r="Z81" s="264">
        <v>586546303.11449397</v>
      </c>
      <c r="AA81" s="40"/>
      <c r="AI81" s="41"/>
      <c r="AJ81" s="41"/>
      <c r="AK81" s="42"/>
    </row>
    <row r="82" spans="1:53">
      <c r="A82">
        <v>2033</v>
      </c>
      <c r="B82" s="81">
        <f t="shared" si="82"/>
        <v>1</v>
      </c>
      <c r="C82" s="111">
        <f t="shared" si="68"/>
        <v>61.965000000000011</v>
      </c>
      <c r="D82" s="111">
        <f t="shared" si="69"/>
        <v>96.228000000000009</v>
      </c>
      <c r="E82" s="111">
        <f t="shared" si="70"/>
        <v>65.610000000000014</v>
      </c>
      <c r="F82" s="111">
        <f t="shared" si="71"/>
        <v>77.091750000000005</v>
      </c>
      <c r="G82" s="112">
        <f t="shared" si="72"/>
        <v>63.605250000000012</v>
      </c>
      <c r="H82" s="43">
        <v>2033</v>
      </c>
      <c r="I82" s="116">
        <f t="shared" si="79"/>
        <v>50</v>
      </c>
      <c r="J82" s="55">
        <f t="shared" si="80"/>
        <v>130</v>
      </c>
      <c r="K82" s="55">
        <f t="shared" si="81"/>
        <v>200</v>
      </c>
      <c r="L82" s="55">
        <f t="shared" si="73"/>
        <v>551</v>
      </c>
      <c r="M82" s="117">
        <f t="shared" si="74"/>
        <v>137</v>
      </c>
      <c r="N82" s="43">
        <v>2033</v>
      </c>
      <c r="O82" s="5">
        <f t="shared" si="75"/>
        <v>10299.326422797256</v>
      </c>
      <c r="P82" s="17">
        <f t="shared" si="76"/>
        <v>937055062.27664733</v>
      </c>
      <c r="Q82" s="11"/>
      <c r="R82" s="9">
        <f t="shared" si="77"/>
        <v>314572690.5914129</v>
      </c>
      <c r="S82" s="54"/>
      <c r="T82" s="9">
        <f t="shared" si="78"/>
        <v>149890763.50423363</v>
      </c>
      <c r="U82" s="51">
        <f t="shared" si="66"/>
        <v>472591608.18100083</v>
      </c>
      <c r="V82" s="120">
        <f t="shared" si="65"/>
        <v>945968042.65763152</v>
      </c>
      <c r="W82" s="155">
        <f t="shared" si="67"/>
        <v>7584925108.7763271</v>
      </c>
      <c r="X82" s="508"/>
      <c r="Y82" s="508"/>
      <c r="Z82" s="264">
        <v>844311136.28233409</v>
      </c>
      <c r="AA82" s="48"/>
      <c r="AI82" s="41"/>
      <c r="AJ82" s="41"/>
      <c r="AK82" s="42"/>
    </row>
    <row r="83" spans="1:53">
      <c r="A83">
        <v>2034</v>
      </c>
      <c r="B83" s="81">
        <f t="shared" si="82"/>
        <v>0.9</v>
      </c>
      <c r="C83" s="111">
        <f t="shared" si="68"/>
        <v>55.76850000000001</v>
      </c>
      <c r="D83" s="111">
        <f t="shared" si="69"/>
        <v>86.605200000000011</v>
      </c>
      <c r="E83" s="111">
        <f t="shared" si="70"/>
        <v>59.049000000000014</v>
      </c>
      <c r="F83" s="111">
        <f t="shared" si="71"/>
        <v>69.382575000000003</v>
      </c>
      <c r="G83" s="112">
        <f t="shared" si="72"/>
        <v>57.24472500000001</v>
      </c>
      <c r="H83" s="43">
        <v>2034</v>
      </c>
      <c r="I83" s="116">
        <f t="shared" si="79"/>
        <v>50</v>
      </c>
      <c r="J83" s="55">
        <f t="shared" si="80"/>
        <v>130</v>
      </c>
      <c r="K83" s="55">
        <f t="shared" si="81"/>
        <v>200</v>
      </c>
      <c r="L83" s="55">
        <f t="shared" si="73"/>
        <v>579</v>
      </c>
      <c r="M83" s="117">
        <f t="shared" si="74"/>
        <v>144</v>
      </c>
      <c r="N83" s="43">
        <v>2034</v>
      </c>
      <c r="O83" s="5">
        <f t="shared" si="75"/>
        <v>11350.82979068327</v>
      </c>
      <c r="P83" s="17">
        <f t="shared" si="76"/>
        <v>1024599040.4442641</v>
      </c>
      <c r="Q83" s="11"/>
      <c r="R83" s="9">
        <f t="shared" si="77"/>
        <v>350957779.90550619</v>
      </c>
      <c r="S83" s="54"/>
      <c r="T83" s="9">
        <f t="shared" si="78"/>
        <v>166395917.68671247</v>
      </c>
      <c r="U83" s="51">
        <f t="shared" si="66"/>
        <v>507245342.85204542</v>
      </c>
      <c r="V83" s="120">
        <f t="shared" si="65"/>
        <v>1082856921.4792905</v>
      </c>
      <c r="W83" s="155">
        <f t="shared" si="67"/>
        <v>8667782030.2556171</v>
      </c>
      <c r="X83" s="508"/>
      <c r="Y83" s="508"/>
      <c r="Z83" s="264">
        <v>1134988093.341352</v>
      </c>
      <c r="AA83" s="48"/>
      <c r="AI83" s="41"/>
      <c r="AJ83" s="41"/>
      <c r="AK83" s="42"/>
    </row>
    <row r="84" spans="1:53">
      <c r="A84">
        <v>2035</v>
      </c>
      <c r="B84" s="81">
        <f t="shared" si="82"/>
        <v>1</v>
      </c>
      <c r="C84" s="111">
        <f t="shared" si="68"/>
        <v>55.76850000000001</v>
      </c>
      <c r="D84" s="111">
        <f t="shared" si="69"/>
        <v>86.605200000000011</v>
      </c>
      <c r="E84" s="111">
        <f t="shared" si="70"/>
        <v>59.049000000000014</v>
      </c>
      <c r="F84" s="111">
        <f t="shared" si="71"/>
        <v>69.382575000000003</v>
      </c>
      <c r="G84" s="112">
        <f t="shared" si="72"/>
        <v>57.24472500000001</v>
      </c>
      <c r="H84" s="43">
        <v>2035</v>
      </c>
      <c r="I84" s="116">
        <f t="shared" si="79"/>
        <v>50</v>
      </c>
      <c r="J84" s="55">
        <f t="shared" si="80"/>
        <v>130</v>
      </c>
      <c r="K84" s="55">
        <f t="shared" si="81"/>
        <v>200</v>
      </c>
      <c r="L84" s="55">
        <f t="shared" si="73"/>
        <v>608</v>
      </c>
      <c r="M84" s="117">
        <f t="shared" si="74"/>
        <v>151</v>
      </c>
      <c r="N84" s="43">
        <v>2035</v>
      </c>
      <c r="O84" s="326">
        <f t="shared" si="75"/>
        <v>12433.075641729854</v>
      </c>
      <c r="P84" s="17">
        <f t="shared" si="76"/>
        <v>1105186686.0250928</v>
      </c>
      <c r="Q84" s="11"/>
      <c r="R84" s="9">
        <f t="shared" si="77"/>
        <v>388722540.60020781</v>
      </c>
      <c r="S84" s="54"/>
      <c r="T84" s="9">
        <f t="shared" si="78"/>
        <v>183384006.09827894</v>
      </c>
      <c r="U84" s="51">
        <f t="shared" si="66"/>
        <v>533080139.32660604</v>
      </c>
      <c r="V84" s="120">
        <f t="shared" si="65"/>
        <v>1129087571.0767424</v>
      </c>
      <c r="W84" s="155">
        <f t="shared" si="67"/>
        <v>9796869601.3323593</v>
      </c>
      <c r="X84" s="508"/>
      <c r="Y84" s="508"/>
      <c r="Z84" s="264">
        <v>1457504690.7144654</v>
      </c>
      <c r="AA84" s="48"/>
      <c r="AI84" s="41"/>
      <c r="AJ84" s="41"/>
      <c r="AK84" s="42"/>
    </row>
    <row r="85" spans="1:53">
      <c r="A85">
        <v>2036</v>
      </c>
      <c r="B85" s="81">
        <f t="shared" si="82"/>
        <v>1</v>
      </c>
      <c r="C85" s="111">
        <f t="shared" si="68"/>
        <v>55.76850000000001</v>
      </c>
      <c r="D85" s="111">
        <f t="shared" si="69"/>
        <v>86.605200000000011</v>
      </c>
      <c r="E85" s="111">
        <f t="shared" si="70"/>
        <v>59.049000000000014</v>
      </c>
      <c r="F85" s="111">
        <f t="shared" si="71"/>
        <v>69.382575000000003</v>
      </c>
      <c r="G85" s="112">
        <f t="shared" si="72"/>
        <v>57.24472500000001</v>
      </c>
      <c r="H85" s="43">
        <v>2036</v>
      </c>
      <c r="I85" s="116">
        <f t="shared" si="79"/>
        <v>50</v>
      </c>
      <c r="J85" s="55">
        <f t="shared" si="80"/>
        <v>130</v>
      </c>
      <c r="K85" s="55">
        <f t="shared" si="81"/>
        <v>200</v>
      </c>
      <c r="L85" s="55">
        <f t="shared" si="73"/>
        <v>638</v>
      </c>
      <c r="M85" s="117">
        <f t="shared" si="74"/>
        <v>159</v>
      </c>
      <c r="N85" s="43">
        <v>2036</v>
      </c>
      <c r="O85" s="5">
        <f t="shared" si="75"/>
        <v>13547.910263521206</v>
      </c>
      <c r="P85" s="17">
        <f t="shared" si="76"/>
        <v>1188155773.5215175</v>
      </c>
      <c r="Q85" s="11"/>
      <c r="R85" s="9">
        <f t="shared" si="77"/>
        <v>427914251.57913905</v>
      </c>
      <c r="S85" s="54"/>
      <c r="T85" s="9">
        <f t="shared" si="78"/>
        <v>200868770.06778753</v>
      </c>
      <c r="U85" s="51">
        <f t="shared" si="66"/>
        <v>559372751.87459087</v>
      </c>
      <c r="V85" s="120">
        <f t="shared" si="65"/>
        <v>1137918663.5678034</v>
      </c>
      <c r="W85" s="155">
        <f t="shared" si="67"/>
        <v>10934788264.900162</v>
      </c>
      <c r="X85" s="508"/>
      <c r="Y85" s="508"/>
      <c r="Z85" s="264">
        <v>1790445165.153929</v>
      </c>
      <c r="AA85" s="48"/>
      <c r="AI85" s="41"/>
      <c r="AJ85" s="41"/>
      <c r="AK85" s="42"/>
    </row>
    <row r="86" spans="1:53">
      <c r="A86">
        <v>2037</v>
      </c>
      <c r="B86" s="81">
        <f t="shared" si="82"/>
        <v>0.9</v>
      </c>
      <c r="C86" s="111">
        <f t="shared" si="68"/>
        <v>50.19165000000001</v>
      </c>
      <c r="D86" s="111">
        <f t="shared" si="69"/>
        <v>77.944680000000005</v>
      </c>
      <c r="E86" s="111">
        <f t="shared" si="70"/>
        <v>53.144100000000016</v>
      </c>
      <c r="F86" s="111">
        <f t="shared" si="71"/>
        <v>62.444317500000004</v>
      </c>
      <c r="G86" s="112">
        <f t="shared" si="72"/>
        <v>51.520252500000012</v>
      </c>
      <c r="H86" s="43">
        <v>2037</v>
      </c>
      <c r="I86" s="116">
        <f t="shared" si="79"/>
        <v>50</v>
      </c>
      <c r="J86" s="55">
        <f t="shared" si="80"/>
        <v>130</v>
      </c>
      <c r="K86" s="55">
        <f t="shared" si="81"/>
        <v>200</v>
      </c>
      <c r="L86" s="55">
        <f t="shared" si="73"/>
        <v>670</v>
      </c>
      <c r="M86" s="117">
        <f t="shared" si="74"/>
        <v>167</v>
      </c>
      <c r="N86" s="43">
        <v>2037</v>
      </c>
      <c r="O86" s="5">
        <f t="shared" si="75"/>
        <v>14697.1707122036</v>
      </c>
      <c r="P86" s="17">
        <f t="shared" si="76"/>
        <v>1273640523.6281602</v>
      </c>
      <c r="Q86" s="11"/>
      <c r="R86" s="9">
        <f t="shared" si="77"/>
        <v>468615390.76663703</v>
      </c>
      <c r="S86" s="54"/>
      <c r="T86" s="9">
        <f t="shared" si="78"/>
        <v>218880038.21744859</v>
      </c>
      <c r="U86" s="51">
        <f t="shared" si="66"/>
        <v>586145094.64407468</v>
      </c>
      <c r="V86" s="120">
        <f t="shared" si="65"/>
        <v>1157866650.4732106</v>
      </c>
      <c r="W86" s="155">
        <f t="shared" si="67"/>
        <v>12092654915.373373</v>
      </c>
      <c r="X86" s="508"/>
      <c r="Y86" s="508"/>
      <c r="Z86" s="264">
        <v>2163203942.9064035</v>
      </c>
      <c r="AA86" s="48"/>
      <c r="AI86" s="41"/>
      <c r="AJ86" s="41"/>
      <c r="AK86" s="42"/>
    </row>
    <row r="87" spans="1:53">
      <c r="A87">
        <v>2038</v>
      </c>
      <c r="B87" s="81">
        <f t="shared" si="82"/>
        <v>1</v>
      </c>
      <c r="C87" s="111">
        <f t="shared" si="68"/>
        <v>50.19165000000001</v>
      </c>
      <c r="D87" s="111">
        <f t="shared" si="69"/>
        <v>77.944680000000005</v>
      </c>
      <c r="E87" s="111">
        <f t="shared" si="70"/>
        <v>53.144100000000016</v>
      </c>
      <c r="F87" s="111">
        <f t="shared" si="71"/>
        <v>62.444317500000004</v>
      </c>
      <c r="G87" s="112">
        <f t="shared" si="72"/>
        <v>51.520252500000012</v>
      </c>
      <c r="H87" s="43">
        <v>2038</v>
      </c>
      <c r="I87" s="116">
        <f t="shared" si="79"/>
        <v>50</v>
      </c>
      <c r="J87" s="55">
        <f t="shared" si="80"/>
        <v>130</v>
      </c>
      <c r="K87" s="55">
        <f t="shared" si="81"/>
        <v>200</v>
      </c>
      <c r="L87" s="55">
        <f t="shared" si="73"/>
        <v>704</v>
      </c>
      <c r="M87" s="117">
        <f t="shared" si="74"/>
        <v>175</v>
      </c>
      <c r="N87" s="43">
        <v>2038</v>
      </c>
      <c r="O87" s="5">
        <f t="shared" si="75"/>
        <v>15882.684858642582</v>
      </c>
      <c r="P87" s="17">
        <f t="shared" si="76"/>
        <v>1352336875.8145645</v>
      </c>
      <c r="Q87" s="11"/>
      <c r="R87" s="9">
        <f t="shared" si="77"/>
        <v>510909569.35867405</v>
      </c>
      <c r="S87" s="54"/>
      <c r="T87" s="9">
        <f t="shared" si="78"/>
        <v>237447490.02636138</v>
      </c>
      <c r="U87" s="51">
        <f t="shared" si="66"/>
        <v>603979816.42952907</v>
      </c>
      <c r="V87" s="120">
        <f t="shared" si="65"/>
        <v>1186360508.5837603</v>
      </c>
      <c r="W87" s="155">
        <f t="shared" si="67"/>
        <v>13279015423.957134</v>
      </c>
      <c r="X87" s="508"/>
      <c r="Y87" s="508"/>
      <c r="Z87" s="264">
        <v>2578439666.1963577</v>
      </c>
      <c r="AA87" s="48"/>
      <c r="AI87" s="41"/>
      <c r="AJ87" s="41"/>
      <c r="AK87" s="42"/>
    </row>
    <row r="88" spans="1:53">
      <c r="A88">
        <v>2039</v>
      </c>
      <c r="B88" s="81">
        <f t="shared" si="82"/>
        <v>1</v>
      </c>
      <c r="C88" s="111">
        <f t="shared" si="68"/>
        <v>50.19165000000001</v>
      </c>
      <c r="D88" s="111">
        <f t="shared" si="69"/>
        <v>77.944680000000005</v>
      </c>
      <c r="E88" s="111">
        <f t="shared" si="70"/>
        <v>53.144100000000016</v>
      </c>
      <c r="F88" s="111">
        <f t="shared" si="71"/>
        <v>62.444317500000004</v>
      </c>
      <c r="G88" s="112">
        <f t="shared" si="72"/>
        <v>51.520252500000012</v>
      </c>
      <c r="H88" s="43">
        <v>2039</v>
      </c>
      <c r="I88" s="116">
        <f t="shared" si="79"/>
        <v>50</v>
      </c>
      <c r="J88" s="55">
        <f t="shared" si="80"/>
        <v>130</v>
      </c>
      <c r="K88" s="55">
        <f t="shared" si="81"/>
        <v>200</v>
      </c>
      <c r="L88" s="55">
        <f t="shared" si="73"/>
        <v>739</v>
      </c>
      <c r="M88" s="117">
        <f t="shared" si="74"/>
        <v>184</v>
      </c>
      <c r="N88" s="43">
        <v>2039</v>
      </c>
      <c r="O88" s="5">
        <f t="shared" si="75"/>
        <v>17106.271434349372</v>
      </c>
      <c r="P88" s="17">
        <f t="shared" si="76"/>
        <v>1433565446.4525464</v>
      </c>
      <c r="Q88" s="11"/>
      <c r="R88" s="9">
        <f t="shared" si="77"/>
        <v>554881542.81449592</v>
      </c>
      <c r="S88" s="54"/>
      <c r="T88" s="9">
        <f t="shared" si="78"/>
        <v>256600656.57622957</v>
      </c>
      <c r="U88" s="51">
        <f t="shared" si="66"/>
        <v>622083247.06182086</v>
      </c>
      <c r="V88" s="120">
        <f t="shared" si="65"/>
        <v>1186649886.9317102</v>
      </c>
      <c r="W88" s="155">
        <f t="shared" si="67"/>
        <v>14465665310.888844</v>
      </c>
      <c r="X88" s="508"/>
      <c r="Y88" s="508"/>
      <c r="Z88" s="264">
        <v>3005264712.580193</v>
      </c>
      <c r="AA88" s="48"/>
      <c r="AI88" s="41"/>
      <c r="AJ88" s="41"/>
      <c r="AK88" s="42"/>
    </row>
    <row r="89" spans="1:53" ht="16" thickBot="1">
      <c r="A89">
        <v>2040</v>
      </c>
      <c r="B89" s="60">
        <f t="shared" si="82"/>
        <v>0.9</v>
      </c>
      <c r="C89" s="150">
        <f t="shared" si="68"/>
        <v>45.172485000000009</v>
      </c>
      <c r="D89" s="113">
        <f t="shared" si="69"/>
        <v>70.15021200000001</v>
      </c>
      <c r="E89" s="113">
        <f t="shared" si="70"/>
        <v>47.829690000000014</v>
      </c>
      <c r="F89" s="113">
        <f t="shared" si="71"/>
        <v>56.199885750000007</v>
      </c>
      <c r="G89" s="114">
        <f t="shared" si="72"/>
        <v>46.368227250000011</v>
      </c>
      <c r="H89" s="43">
        <v>2040</v>
      </c>
      <c r="I89" s="163">
        <f t="shared" si="79"/>
        <v>50</v>
      </c>
      <c r="J89" s="164">
        <f t="shared" si="80"/>
        <v>130</v>
      </c>
      <c r="K89" s="164">
        <f t="shared" si="81"/>
        <v>200</v>
      </c>
      <c r="L89" s="164">
        <f t="shared" si="73"/>
        <v>776</v>
      </c>
      <c r="M89" s="165">
        <f t="shared" si="74"/>
        <v>193</v>
      </c>
      <c r="N89" s="43">
        <v>2040</v>
      </c>
      <c r="O89" s="66">
        <f t="shared" si="75"/>
        <v>18369.740077177627</v>
      </c>
      <c r="P89" s="68">
        <f t="shared" si="76"/>
        <v>1517445089.5636284</v>
      </c>
      <c r="Q89" s="69"/>
      <c r="R89" s="67">
        <f t="shared" si="77"/>
        <v>600617221.93845034</v>
      </c>
      <c r="S89" s="121"/>
      <c r="T89" s="67">
        <f t="shared" si="78"/>
        <v>276368921.29334843</v>
      </c>
      <c r="U89" s="69">
        <f t="shared" si="66"/>
        <v>640458946.33182967</v>
      </c>
      <c r="V89" s="153">
        <f t="shared" si="65"/>
        <v>1188923300.8015881</v>
      </c>
      <c r="W89" s="156">
        <f t="shared" si="67"/>
        <v>15654588611.690432</v>
      </c>
      <c r="X89" s="510"/>
      <c r="Y89" s="510"/>
      <c r="Z89" s="265">
        <v>3429935723.5634975</v>
      </c>
      <c r="AA89" s="48"/>
      <c r="AI89" s="41"/>
      <c r="AJ89" s="41"/>
      <c r="AK89" s="42"/>
    </row>
    <row r="90" spans="1:53">
      <c r="I90" s="70"/>
      <c r="J90" s="70"/>
      <c r="K90" s="70"/>
      <c r="L90" s="70"/>
      <c r="M90" s="498">
        <f>SUM(I70:M84)</f>
        <v>12799</v>
      </c>
      <c r="O90" t="s">
        <v>70</v>
      </c>
      <c r="T90" s="21"/>
      <c r="AA90" s="48"/>
      <c r="AI90" s="41"/>
      <c r="AJ90" s="41"/>
      <c r="AK90" s="42"/>
    </row>
    <row r="91" spans="1:53">
      <c r="F91" t="s">
        <v>263</v>
      </c>
      <c r="G91" s="337">
        <f>AVERAGE(C71:G71)</f>
        <v>100</v>
      </c>
      <c r="L91" s="33" t="s">
        <v>326</v>
      </c>
      <c r="M91">
        <v>12900</v>
      </c>
      <c r="N91" s="30">
        <f>O88*1154</f>
        <v>19740637.235239174</v>
      </c>
      <c r="AA91" s="48"/>
    </row>
    <row r="92" spans="1:53">
      <c r="F92" t="s">
        <v>186</v>
      </c>
      <c r="G92" s="337">
        <v>75</v>
      </c>
      <c r="I92" s="192" t="s">
        <v>249</v>
      </c>
      <c r="N92" s="12"/>
      <c r="O92" s="192" t="s">
        <v>170</v>
      </c>
      <c r="Q92" s="32"/>
      <c r="R92" s="35"/>
      <c r="S92" s="35"/>
      <c r="T92" s="35"/>
      <c r="U92" s="35"/>
      <c r="V92" s="32"/>
      <c r="W92" s="32"/>
      <c r="X92" s="32"/>
      <c r="Y92" s="32"/>
    </row>
    <row r="93" spans="1:53">
      <c r="F93" t="s">
        <v>265</v>
      </c>
      <c r="G93" s="195">
        <f>G91/G92</f>
        <v>1.3333333333333333</v>
      </c>
      <c r="I93" s="439">
        <v>1</v>
      </c>
      <c r="J93" s="439">
        <v>1</v>
      </c>
      <c r="K93" s="439">
        <v>1.05</v>
      </c>
      <c r="L93" s="439">
        <v>1.05</v>
      </c>
      <c r="M93" s="439">
        <v>1.05</v>
      </c>
      <c r="N93" s="32"/>
      <c r="P93" s="32"/>
      <c r="Q93" s="13"/>
      <c r="R93" s="32"/>
      <c r="S93" s="32"/>
      <c r="T93" s="32"/>
      <c r="U93" s="32"/>
      <c r="V93" s="32"/>
      <c r="W93" s="32"/>
      <c r="X93" s="32"/>
      <c r="Y93" s="32"/>
    </row>
    <row r="94" spans="1:53">
      <c r="A94" s="32"/>
      <c r="B94" s="12"/>
      <c r="C94" s="12"/>
      <c r="D94" s="12"/>
      <c r="E94" s="12"/>
      <c r="F94" s="12"/>
      <c r="G94" s="35"/>
      <c r="H94" s="12"/>
      <c r="J94" t="s">
        <v>266</v>
      </c>
      <c r="K94">
        <f>SUM(I71:M89)</f>
        <v>19104</v>
      </c>
      <c r="L94">
        <v>2022</v>
      </c>
      <c r="M94">
        <f>SUM(I71:M71)</f>
        <v>550</v>
      </c>
      <c r="N94" s="123" t="s">
        <v>1</v>
      </c>
      <c r="O94" t="s">
        <v>171</v>
      </c>
      <c r="P94" t="s">
        <v>172</v>
      </c>
      <c r="Q94" t="s">
        <v>175</v>
      </c>
      <c r="R94" t="s">
        <v>176</v>
      </c>
      <c r="S94" t="s">
        <v>177</v>
      </c>
      <c r="U94" t="s">
        <v>173</v>
      </c>
      <c r="V94" t="s">
        <v>174</v>
      </c>
      <c r="AB94" s="21"/>
    </row>
    <row r="95" spans="1:53">
      <c r="A95" s="13"/>
      <c r="B95" s="32"/>
      <c r="C95" s="32"/>
      <c r="D95" s="32"/>
      <c r="E95" s="32"/>
      <c r="F95" s="32"/>
      <c r="G95" s="32"/>
      <c r="H95" s="32"/>
      <c r="I95" s="32"/>
      <c r="J95" s="32" t="s">
        <v>186</v>
      </c>
      <c r="K95">
        <v>14250</v>
      </c>
      <c r="L95" s="32">
        <v>2040</v>
      </c>
      <c r="M95">
        <f>SUM(I89:M89)</f>
        <v>1349</v>
      </c>
      <c r="N95" s="40">
        <v>2019</v>
      </c>
      <c r="O95" s="191">
        <f>O68*$P$64</f>
        <v>0</v>
      </c>
      <c r="P95">
        <f>K68+L68+M68</f>
        <v>0</v>
      </c>
      <c r="Q95">
        <f>P95*(1-$U$2)</f>
        <v>0</v>
      </c>
      <c r="R95" s="30">
        <f>(P95-Q95)*$P$64</f>
        <v>0</v>
      </c>
      <c r="S95" s="2">
        <f>R95*(1-$W$2)*Z38*1000</f>
        <v>0</v>
      </c>
      <c r="U95" s="30">
        <f t="shared" ref="U95:U116" si="83">P95*$P$64</f>
        <v>0</v>
      </c>
      <c r="V95" s="2">
        <f>$W$2*Z38*U95*1000</f>
        <v>0</v>
      </c>
    </row>
    <row r="96" spans="1:53" ht="16" thickBot="1">
      <c r="J96" t="s">
        <v>265</v>
      </c>
      <c r="K96" s="195">
        <f>K94/K95</f>
        <v>1.3406315789473684</v>
      </c>
      <c r="L96" s="33" t="s">
        <v>264</v>
      </c>
      <c r="M96" s="196">
        <f>(M95/M94)^(1/18)-1</f>
        <v>5.1107611786147977E-2</v>
      </c>
      <c r="N96" s="40">
        <v>2020</v>
      </c>
      <c r="O96" s="191">
        <f t="shared" ref="O96:O116" si="84">O69*$P$64</f>
        <v>0</v>
      </c>
      <c r="P96">
        <f>P95+K69+L69+M69</f>
        <v>0</v>
      </c>
      <c r="Q96">
        <f>P96*(1-$U$2)</f>
        <v>0</v>
      </c>
      <c r="R96" s="30">
        <f t="shared" ref="R96:R116" si="85">(P96-Q96)*$P$64</f>
        <v>0</v>
      </c>
      <c r="S96" s="2">
        <f>R96*(1-$W$2)*Z39*1000</f>
        <v>0</v>
      </c>
      <c r="U96" s="30">
        <f t="shared" si="83"/>
        <v>0</v>
      </c>
      <c r="V96" s="2">
        <f>$W$2*Z39*U96*1000</f>
        <v>0</v>
      </c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11"/>
      <c r="AR96" s="32"/>
      <c r="AS96" s="32"/>
      <c r="AT96" s="32"/>
      <c r="AU96" s="32"/>
      <c r="AV96" s="32"/>
      <c r="AW96" s="32"/>
      <c r="AX96" s="32"/>
      <c r="AY96" s="32"/>
      <c r="AZ96" s="32"/>
      <c r="BA96" s="32"/>
    </row>
    <row r="97" spans="2:22" ht="32">
      <c r="C97" s="118" t="s">
        <v>44</v>
      </c>
      <c r="D97" s="119" t="s">
        <v>45</v>
      </c>
      <c r="E97" s="119" t="s">
        <v>46</v>
      </c>
      <c r="F97" s="119" t="s">
        <v>47</v>
      </c>
      <c r="G97" s="162" t="s">
        <v>48</v>
      </c>
      <c r="H97" s="202" t="s">
        <v>187</v>
      </c>
      <c r="N97" s="49">
        <v>2021</v>
      </c>
      <c r="O97" s="191">
        <f t="shared" si="84"/>
        <v>0</v>
      </c>
      <c r="P97">
        <f t="shared" ref="P97:P116" si="86">P96+K70+L70+M70</f>
        <v>0</v>
      </c>
      <c r="Q97">
        <f>P97*(1-$U$2)</f>
        <v>0</v>
      </c>
      <c r="R97" s="30">
        <f t="shared" si="85"/>
        <v>0</v>
      </c>
      <c r="S97" s="2">
        <f>R97*(1-$W$2)*Z40*1000</f>
        <v>0</v>
      </c>
      <c r="U97" s="30">
        <f t="shared" si="83"/>
        <v>0</v>
      </c>
      <c r="V97" s="2">
        <f>$W$2*Z40*U97*1000</f>
        <v>0</v>
      </c>
    </row>
    <row r="98" spans="2:22">
      <c r="B98" t="s">
        <v>188</v>
      </c>
      <c r="C98" s="339">
        <v>40</v>
      </c>
      <c r="D98" s="339">
        <v>80</v>
      </c>
      <c r="E98" s="339">
        <v>90</v>
      </c>
      <c r="F98" s="339">
        <v>85</v>
      </c>
      <c r="G98" s="340">
        <v>80</v>
      </c>
      <c r="H98" s="338">
        <f>AVERAGE(C98:G98)</f>
        <v>75</v>
      </c>
      <c r="J98" s="442">
        <v>2035</v>
      </c>
      <c r="K98">
        <v>17000</v>
      </c>
      <c r="M98" t="s">
        <v>185</v>
      </c>
      <c r="N98" s="49">
        <v>2022</v>
      </c>
      <c r="O98" s="191">
        <f t="shared" si="84"/>
        <v>634700</v>
      </c>
      <c r="P98">
        <f t="shared" si="86"/>
        <v>550</v>
      </c>
      <c r="Q98">
        <f>P98*(1-$U$2)</f>
        <v>209</v>
      </c>
      <c r="R98" s="30">
        <f t="shared" si="85"/>
        <v>393514</v>
      </c>
      <c r="S98" s="2">
        <f>R98*(1-$W$2)*Z41*1000</f>
        <v>39142454.700020812</v>
      </c>
      <c r="U98" s="30">
        <f t="shared" si="83"/>
        <v>634700</v>
      </c>
      <c r="V98" s="2">
        <f>$W$2*Z41*U98*1000</f>
        <v>27056996.336419918</v>
      </c>
    </row>
    <row r="99" spans="2:22">
      <c r="B99" t="s">
        <v>189</v>
      </c>
      <c r="C99" s="339">
        <v>75</v>
      </c>
      <c r="D99" s="339">
        <v>125</v>
      </c>
      <c r="E99" s="339">
        <v>125</v>
      </c>
      <c r="F99" s="339">
        <v>110</v>
      </c>
      <c r="G99" s="340">
        <v>80</v>
      </c>
      <c r="H99" s="338">
        <f>AVERAGE(C99:G99)</f>
        <v>103</v>
      </c>
      <c r="J99" s="442">
        <v>2050</v>
      </c>
      <c r="K99">
        <v>32000</v>
      </c>
      <c r="M99" s="30">
        <f>L42</f>
        <v>0</v>
      </c>
      <c r="N99" s="49">
        <v>2023</v>
      </c>
      <c r="O99" s="191">
        <f t="shared" si="84"/>
        <v>1370086.5</v>
      </c>
      <c r="P99">
        <f t="shared" si="86"/>
        <v>1145</v>
      </c>
      <c r="Q99">
        <f>P99*(1-$U$2)</f>
        <v>435.1</v>
      </c>
      <c r="R99" s="30">
        <f t="shared" si="85"/>
        <v>819224.6</v>
      </c>
      <c r="S99" s="2">
        <f>R99*(1-$W$2)*Z42*1000</f>
        <v>83324414.795164555</v>
      </c>
      <c r="U99" s="30">
        <f t="shared" si="83"/>
        <v>1321330</v>
      </c>
      <c r="V99" s="2">
        <f>$W$2*Z42*U99*1000</f>
        <v>57597521.747809611</v>
      </c>
    </row>
    <row r="100" spans="2:22">
      <c r="C100" s="21"/>
      <c r="D100" s="21"/>
      <c r="E100" s="21"/>
      <c r="F100" s="21"/>
      <c r="G100" s="21"/>
      <c r="H100" s="192"/>
      <c r="K100">
        <f>(K99/K98)^(1/14)-1</f>
        <v>4.6216353084387096E-2</v>
      </c>
      <c r="M100" s="30">
        <f t="shared" ref="M100:M116" si="87">L43</f>
        <v>1497232.7999999998</v>
      </c>
      <c r="N100" s="49">
        <v>2024</v>
      </c>
      <c r="O100" s="191">
        <f t="shared" si="84"/>
        <v>2310670.0674999999</v>
      </c>
      <c r="P100">
        <f t="shared" si="86"/>
        <v>1786</v>
      </c>
      <c r="Q100">
        <f>P100*(1-$U$2)</f>
        <v>678.68000000000006</v>
      </c>
      <c r="R100" s="30">
        <f t="shared" si="85"/>
        <v>1277847.28</v>
      </c>
      <c r="S100" s="2">
        <f>R100*(1-$W$2)*Z43*1000</f>
        <v>134036968.43047214</v>
      </c>
      <c r="U100" s="30">
        <f t="shared" si="83"/>
        <v>2061044</v>
      </c>
      <c r="V100" s="2">
        <f>$W$2*Z43*U100*1000</f>
        <v>92652282.325211152</v>
      </c>
    </row>
    <row r="101" spans="2:22">
      <c r="B101" t="s">
        <v>190</v>
      </c>
      <c r="C101" s="99">
        <v>130</v>
      </c>
      <c r="D101" s="21">
        <v>130</v>
      </c>
      <c r="E101" s="21">
        <v>150</v>
      </c>
      <c r="F101" s="21">
        <v>300</v>
      </c>
      <c r="G101" s="213">
        <v>40</v>
      </c>
      <c r="H101" s="192">
        <f>SUM(C101:G101)</f>
        <v>750</v>
      </c>
      <c r="M101" s="30">
        <f t="shared" si="87"/>
        <v>2994465.5999999996</v>
      </c>
      <c r="N101" s="40">
        <v>2025</v>
      </c>
      <c r="O101" s="191">
        <f t="shared" si="84"/>
        <v>3271938.7171625001</v>
      </c>
      <c r="P101">
        <f t="shared" si="86"/>
        <v>2449</v>
      </c>
      <c r="Q101">
        <f>P101*(1-$U$2)</f>
        <v>930.62</v>
      </c>
      <c r="R101" s="30">
        <f t="shared" si="85"/>
        <v>1752210.52</v>
      </c>
      <c r="S101" s="2">
        <f>R101*(1-$W$2)*Z44*1000</f>
        <v>190216062.77672344</v>
      </c>
      <c r="U101" s="30">
        <f t="shared" si="83"/>
        <v>2826146</v>
      </c>
      <c r="V101" s="2">
        <f>$W$2*Z44*U101*1000</f>
        <v>131485757.67976275</v>
      </c>
    </row>
    <row r="102" spans="2:22">
      <c r="B102" t="s">
        <v>191</v>
      </c>
      <c r="C102" s="99">
        <f>I71</f>
        <v>0</v>
      </c>
      <c r="D102" s="32">
        <f>J71</f>
        <v>0</v>
      </c>
      <c r="E102" s="32">
        <f>K71</f>
        <v>150</v>
      </c>
      <c r="F102" s="32">
        <f>L71</f>
        <v>320</v>
      </c>
      <c r="G102" s="213">
        <f>M71</f>
        <v>80</v>
      </c>
      <c r="H102" s="192">
        <f>SUM(C102:G102)</f>
        <v>550</v>
      </c>
      <c r="M102" s="30">
        <f t="shared" si="87"/>
        <v>4491698.3999999994</v>
      </c>
      <c r="N102" s="40">
        <v>2026</v>
      </c>
      <c r="O102" s="191">
        <f t="shared" si="84"/>
        <v>4256097.023576688</v>
      </c>
      <c r="P102">
        <f t="shared" si="86"/>
        <v>3136</v>
      </c>
      <c r="Q102">
        <f>P102*(1-$U$2)</f>
        <v>1191.68</v>
      </c>
      <c r="R102" s="30">
        <f t="shared" si="85"/>
        <v>2243745.2799999998</v>
      </c>
      <c r="S102" s="2">
        <f>R102*(1-$W$2)*Z45*1000</f>
        <v>250908464.62311673</v>
      </c>
      <c r="U102" s="30">
        <f t="shared" si="83"/>
        <v>3618944</v>
      </c>
      <c r="V102" s="2">
        <f>$W$2*Z45*U102*1000</f>
        <v>173439030.84547243</v>
      </c>
    </row>
    <row r="103" spans="2:22">
      <c r="M103" s="30">
        <f t="shared" si="87"/>
        <v>7700054.3999999994</v>
      </c>
      <c r="N103" s="40">
        <v>2027</v>
      </c>
      <c r="O103" s="191">
        <f t="shared" si="84"/>
        <v>5264184.5384588046</v>
      </c>
      <c r="P103">
        <f t="shared" si="86"/>
        <v>3848</v>
      </c>
      <c r="Q103">
        <f>P103*(1-$U$2)</f>
        <v>1462.24</v>
      </c>
      <c r="R103" s="30">
        <f t="shared" si="85"/>
        <v>2753167.04</v>
      </c>
      <c r="S103" s="2">
        <f>R103*(1-$W$2)*Z46*1000</f>
        <v>318455414.02844793</v>
      </c>
      <c r="U103" s="30">
        <f t="shared" si="83"/>
        <v>4440592</v>
      </c>
      <c r="V103" s="2">
        <f>$W$2*Z46*U103*1000</f>
        <v>220130470.52657691</v>
      </c>
    </row>
    <row r="104" spans="2:22">
      <c r="M104" s="30">
        <f t="shared" si="87"/>
        <v>10908410.399999999</v>
      </c>
      <c r="N104" s="40">
        <v>2028</v>
      </c>
      <c r="O104" s="191">
        <f t="shared" si="84"/>
        <v>6297235.6157665113</v>
      </c>
      <c r="P104">
        <f t="shared" si="86"/>
        <v>4586</v>
      </c>
      <c r="Q104">
        <f>P104*(1-$U$2)</f>
        <v>1742.68</v>
      </c>
      <c r="R104" s="30">
        <f t="shared" si="85"/>
        <v>3281191.28</v>
      </c>
      <c r="S104" s="2">
        <f>R104*(1-$W$2)*Z47*1000</f>
        <v>393068457.12935376</v>
      </c>
      <c r="U104" s="30">
        <f t="shared" si="83"/>
        <v>5292244</v>
      </c>
      <c r="V104" s="2">
        <f>$W$2*Z47*U104*1000</f>
        <v>271706306.77144271</v>
      </c>
    </row>
    <row r="105" spans="2:22">
      <c r="K105" s="197">
        <f>0.5*O20</f>
        <v>37493500.695990227</v>
      </c>
      <c r="L105" s="197">
        <f>M105+O105</f>
        <v>21473045.837687679</v>
      </c>
      <c r="M105" s="30">
        <f t="shared" si="87"/>
        <v>14116766.399999999</v>
      </c>
      <c r="N105" s="40">
        <v>2029</v>
      </c>
      <c r="O105" s="191">
        <f t="shared" si="84"/>
        <v>7356279.4376876792</v>
      </c>
      <c r="P105">
        <f t="shared" si="86"/>
        <v>5351</v>
      </c>
      <c r="Q105">
        <f>P105*(1-$U$2)</f>
        <v>2033.38</v>
      </c>
      <c r="R105" s="30">
        <f t="shared" si="85"/>
        <v>3828533.48</v>
      </c>
      <c r="S105" s="2">
        <f>R105*(1-$W$2)*Z48*1000</f>
        <v>474248140.65529138</v>
      </c>
      <c r="U105" s="30">
        <f t="shared" si="83"/>
        <v>6175054</v>
      </c>
      <c r="V105" s="2">
        <f>$W$2*Z48*U105*1000</f>
        <v>327821295.38384199</v>
      </c>
    </row>
    <row r="106" spans="2:22">
      <c r="K106" s="197">
        <f>0.5*O21</f>
        <v>37680968.199470177</v>
      </c>
      <c r="L106" s="197">
        <f>M106+O106</f>
        <v>25554726.04049924</v>
      </c>
      <c r="M106" s="30">
        <f t="shared" si="87"/>
        <v>17111232</v>
      </c>
      <c r="N106" s="40">
        <v>2030</v>
      </c>
      <c r="O106" s="191">
        <f t="shared" si="84"/>
        <v>8443494.0404992402</v>
      </c>
      <c r="P106">
        <f t="shared" si="86"/>
        <v>6145</v>
      </c>
      <c r="Q106">
        <f>P106*(1-$U$2)</f>
        <v>2335.1</v>
      </c>
      <c r="R106" s="30">
        <f t="shared" si="85"/>
        <v>4396624.6000000006</v>
      </c>
      <c r="S106" s="2">
        <f>R106*(1-$W$2)*Z49*1000</f>
        <v>558777795.60255587</v>
      </c>
      <c r="U106" s="30">
        <f t="shared" si="83"/>
        <v>7091330</v>
      </c>
      <c r="V106" s="2">
        <f>$W$2*Z49*U106*1000</f>
        <v>386251932.44416302</v>
      </c>
    </row>
    <row r="107" spans="2:22">
      <c r="K107" s="197">
        <f>0.5*O22</f>
        <v>37869373.04046753</v>
      </c>
      <c r="L107" s="197">
        <f>M107+O107</f>
        <v>29665590.17029674</v>
      </c>
      <c r="M107" s="30">
        <f t="shared" si="87"/>
        <v>20105697.599999998</v>
      </c>
      <c r="N107" s="48">
        <v>2031</v>
      </c>
      <c r="O107" s="191">
        <f t="shared" si="84"/>
        <v>9559892.570296742</v>
      </c>
      <c r="P107">
        <f t="shared" si="86"/>
        <v>6969</v>
      </c>
      <c r="Q107">
        <f>P107*(1-$U$2)</f>
        <v>2648.2200000000003</v>
      </c>
      <c r="R107" s="30">
        <f t="shared" si="85"/>
        <v>4986180.12</v>
      </c>
      <c r="S107" s="2">
        <f>R107*(1-$W$2)*Z50*1000</f>
        <v>643192577.9248693</v>
      </c>
      <c r="U107" s="30">
        <f t="shared" si="83"/>
        <v>8042226</v>
      </c>
      <c r="V107" s="2">
        <f>$W$2*Z50*U107*1000</f>
        <v>444603164.46419537</v>
      </c>
    </row>
    <row r="108" spans="2:22">
      <c r="K108" s="197">
        <f>0.5*O23</f>
        <v>38058719.905669868</v>
      </c>
      <c r="L108" s="197">
        <f>M108+O108</f>
        <v>33806646.307445258</v>
      </c>
      <c r="M108" s="30">
        <f t="shared" si="87"/>
        <v>23100163.199999999</v>
      </c>
      <c r="N108" s="48">
        <v>2032</v>
      </c>
      <c r="O108" s="191">
        <f t="shared" si="84"/>
        <v>10706483.107445259</v>
      </c>
      <c r="P108">
        <f t="shared" si="86"/>
        <v>7824</v>
      </c>
      <c r="Q108">
        <f>P108*(1-$U$2)</f>
        <v>2973.12</v>
      </c>
      <c r="R108" s="30">
        <f t="shared" si="85"/>
        <v>5597915.5200000005</v>
      </c>
      <c r="S108" s="2">
        <f>R108*(1-$W$2)*Z51*1000</f>
        <v>741621014.80021799</v>
      </c>
      <c r="U108" s="30">
        <f t="shared" si="83"/>
        <v>9028896</v>
      </c>
      <c r="V108" s="2">
        <f>$W$2*Z51*U108*1000</f>
        <v>512641254.47019666</v>
      </c>
    </row>
    <row r="109" spans="2:22">
      <c r="K109" s="197">
        <f t="shared" ref="K109:K115" si="88">0.5*O24</f>
        <v>38249013.505198218</v>
      </c>
      <c r="L109" s="197">
        <f t="shared" ref="L109:L115" si="89">M109+O109</f>
        <v>37980051.491908029</v>
      </c>
      <c r="M109" s="30">
        <f t="shared" si="87"/>
        <v>26094628.799999997</v>
      </c>
      <c r="N109" s="48">
        <v>2033</v>
      </c>
      <c r="O109" s="191">
        <f t="shared" si="84"/>
        <v>11885422.691908034</v>
      </c>
      <c r="P109">
        <f t="shared" si="86"/>
        <v>8712</v>
      </c>
      <c r="Q109">
        <f>P109*(1-$U$2)</f>
        <v>3310.56</v>
      </c>
      <c r="R109" s="30">
        <f t="shared" si="85"/>
        <v>6233261.7600000007</v>
      </c>
      <c r="S109" s="2">
        <f>R109*(1-$W$2)*Z52*1000</f>
        <v>851786852.2926482</v>
      </c>
      <c r="U109" s="30">
        <f t="shared" si="83"/>
        <v>10053648</v>
      </c>
      <c r="V109" s="2">
        <f>$W$2*Z52*U109*1000</f>
        <v>588792755.04100096</v>
      </c>
    </row>
    <row r="110" spans="2:22">
      <c r="K110" s="197">
        <f t="shared" si="88"/>
        <v>38440258.572724208</v>
      </c>
      <c r="L110" s="197">
        <f t="shared" si="89"/>
        <v>42187951.978448495</v>
      </c>
      <c r="M110" s="30">
        <f t="shared" si="87"/>
        <v>29089094.400000002</v>
      </c>
      <c r="N110" s="48">
        <v>2034</v>
      </c>
      <c r="O110" s="191">
        <f t="shared" si="84"/>
        <v>13098857.578448495</v>
      </c>
      <c r="P110">
        <f t="shared" si="86"/>
        <v>9635</v>
      </c>
      <c r="Q110">
        <f>P110*(1-$U$2)</f>
        <v>3661.3</v>
      </c>
      <c r="R110" s="30">
        <f t="shared" si="85"/>
        <v>6893649.7999999998</v>
      </c>
      <c r="S110" s="2">
        <f>R110*(1-$W$2)*Z53*1000</f>
        <v>977173563.78470445</v>
      </c>
      <c r="U110" s="30">
        <f t="shared" si="83"/>
        <v>11118790</v>
      </c>
      <c r="V110" s="2">
        <f>$W$2*Z53*U110*1000</f>
        <v>675465597.08620131</v>
      </c>
    </row>
    <row r="111" spans="2:22">
      <c r="K111" s="197">
        <f t="shared" si="88"/>
        <v>38632459.865587831</v>
      </c>
      <c r="L111" s="197">
        <f t="shared" si="89"/>
        <v>46431329.290556252</v>
      </c>
      <c r="M111" s="30">
        <f t="shared" si="87"/>
        <v>32083560</v>
      </c>
      <c r="N111" s="48">
        <v>2035</v>
      </c>
      <c r="O111" s="191">
        <f t="shared" si="84"/>
        <v>14347769.290556252</v>
      </c>
      <c r="P111">
        <f t="shared" si="86"/>
        <v>10594</v>
      </c>
      <c r="Q111">
        <f>P111*(1-$U$2)</f>
        <v>4025.7200000000003</v>
      </c>
      <c r="R111" s="30">
        <f t="shared" si="85"/>
        <v>7579795.1200000001</v>
      </c>
      <c r="S111" s="2">
        <f>R111*(1-$W$2)*Z54*1000</f>
        <v>1097103176.9281926</v>
      </c>
      <c r="U111" s="30">
        <f t="shared" si="83"/>
        <v>12225476</v>
      </c>
      <c r="V111" s="2">
        <f>$W$2*Z54*U111*1000</f>
        <v>758366251.33285201</v>
      </c>
    </row>
    <row r="112" spans="2:22">
      <c r="K112" s="197">
        <f t="shared" si="88"/>
        <v>38825622.16491577</v>
      </c>
      <c r="L112" s="197">
        <f t="shared" si="89"/>
        <v>47717848.444103472</v>
      </c>
      <c r="M112" s="30">
        <f t="shared" si="87"/>
        <v>32083560</v>
      </c>
      <c r="N112" s="48">
        <v>2036</v>
      </c>
      <c r="O112" s="191">
        <f t="shared" si="84"/>
        <v>15634288.444103472</v>
      </c>
      <c r="P112">
        <f t="shared" si="86"/>
        <v>11591</v>
      </c>
      <c r="Q112">
        <f>P112*(1-$U$2)</f>
        <v>4404.58</v>
      </c>
      <c r="R112" s="30">
        <f t="shared" si="85"/>
        <v>8293128.6799999997</v>
      </c>
      <c r="S112" s="2">
        <f>R112*(1-$W$2)*Z55*1000</f>
        <v>1225068578.3360445</v>
      </c>
      <c r="U112" s="30">
        <f t="shared" si="83"/>
        <v>13376014</v>
      </c>
      <c r="V112" s="2">
        <f>$W$2*Z55*U112*1000</f>
        <v>846821597.92814147</v>
      </c>
    </row>
    <row r="113" spans="11:22">
      <c r="K113" s="197">
        <f t="shared" si="88"/>
        <v>39019750.275740348</v>
      </c>
      <c r="L113" s="197">
        <f t="shared" si="89"/>
        <v>49044095.001882955</v>
      </c>
      <c r="M113" s="30">
        <f t="shared" si="87"/>
        <v>32083560</v>
      </c>
      <c r="N113" s="48">
        <v>2037</v>
      </c>
      <c r="O113" s="191">
        <f t="shared" si="84"/>
        <v>16960535.001882955</v>
      </c>
      <c r="P113">
        <f t="shared" si="86"/>
        <v>12628</v>
      </c>
      <c r="Q113">
        <f>P113*(1-$U$2)</f>
        <v>4798.6400000000003</v>
      </c>
      <c r="R113" s="30">
        <f t="shared" si="85"/>
        <v>9035081.4399999995</v>
      </c>
      <c r="S113" s="2">
        <f>R113*(1-$W$2)*Z56*1000</f>
        <v>1345598023.6808419</v>
      </c>
      <c r="U113" s="30">
        <f t="shared" si="83"/>
        <v>14572712</v>
      </c>
      <c r="V113" s="2">
        <f>$W$2*Z56*U113*1000</f>
        <v>930136882.72869253</v>
      </c>
    </row>
    <row r="114" spans="11:22">
      <c r="K114" s="197">
        <f t="shared" si="88"/>
        <v>39214849.027119048</v>
      </c>
      <c r="L114" s="197">
        <f t="shared" si="89"/>
        <v>50412178.326873541</v>
      </c>
      <c r="M114" s="30">
        <f t="shared" si="87"/>
        <v>32083560</v>
      </c>
      <c r="N114" s="48">
        <v>2038</v>
      </c>
      <c r="O114" s="191">
        <f t="shared" si="84"/>
        <v>18328618.326873541</v>
      </c>
      <c r="P114">
        <f t="shared" si="86"/>
        <v>13707</v>
      </c>
      <c r="Q114">
        <f>P114*(1-$U$2)</f>
        <v>5208.66</v>
      </c>
      <c r="R114" s="30">
        <f t="shared" si="85"/>
        <v>9807084.3599999994</v>
      </c>
      <c r="S114" s="2">
        <f>R114*(1-$W$2)*Z57*1000</f>
        <v>1474406108.8021755</v>
      </c>
      <c r="U114" s="30">
        <f t="shared" si="83"/>
        <v>15817878</v>
      </c>
      <c r="V114" s="2">
        <f>$W$2*Z57*U114*1000</f>
        <v>1019174729.5867577</v>
      </c>
    </row>
    <row r="115" spans="11:22">
      <c r="K115" s="197">
        <f t="shared" si="88"/>
        <v>39410923.272254646</v>
      </c>
      <c r="L115" s="197">
        <f t="shared" si="89"/>
        <v>51824197.235239178</v>
      </c>
      <c r="M115" s="30">
        <f t="shared" si="87"/>
        <v>32083560</v>
      </c>
      <c r="N115" s="48">
        <v>2039</v>
      </c>
      <c r="O115" s="191">
        <f t="shared" si="84"/>
        <v>19740637.235239174</v>
      </c>
      <c r="P115">
        <f t="shared" si="86"/>
        <v>14830</v>
      </c>
      <c r="Q115">
        <f>P115*(1-$U$2)</f>
        <v>5635.4</v>
      </c>
      <c r="R115" s="30">
        <f t="shared" si="85"/>
        <v>10610568.4</v>
      </c>
      <c r="S115" s="2">
        <f>R115*(1-$W$2)*Z58*1000</f>
        <v>1611086824.4744899</v>
      </c>
      <c r="U115" s="30">
        <f t="shared" si="83"/>
        <v>17113820</v>
      </c>
      <c r="V115" s="2">
        <f>$W$2*Z58*U115*1000</f>
        <v>1113654486.963933</v>
      </c>
    </row>
    <row r="116" spans="11:22">
      <c r="K116" s="197">
        <f>0.5*O31</f>
        <v>39607977.888615921</v>
      </c>
      <c r="L116" s="197">
        <f>M116+O116</f>
        <v>53282240.049062982</v>
      </c>
      <c r="M116" s="30">
        <f t="shared" si="87"/>
        <v>32083560</v>
      </c>
      <c r="N116" s="48">
        <v>2040</v>
      </c>
      <c r="O116" s="191">
        <f t="shared" si="84"/>
        <v>21198680.049062982</v>
      </c>
      <c r="P116">
        <f t="shared" si="86"/>
        <v>15999</v>
      </c>
      <c r="Q116">
        <f>P116*(1-$U$2)</f>
        <v>6079.62</v>
      </c>
      <c r="R116" s="30">
        <f t="shared" si="85"/>
        <v>11446964.520000001</v>
      </c>
      <c r="S116" s="2">
        <f>R116*(1-$W$2)*Z59*1000</f>
        <v>1772643576.7749963</v>
      </c>
      <c r="U116" s="30">
        <f t="shared" si="83"/>
        <v>18462846</v>
      </c>
      <c r="V116" s="2">
        <f>$W$2*Z59*U116*1000</f>
        <v>1225329661.3652046</v>
      </c>
    </row>
    <row r="130" spans="1:26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>
      <c r="A131" s="32"/>
      <c r="B131" s="39"/>
      <c r="C131" s="39"/>
      <c r="D131" s="39"/>
      <c r="E131" s="39"/>
      <c r="F131" s="53"/>
      <c r="G131" s="39"/>
      <c r="H131" s="39"/>
      <c r="I131" s="39"/>
      <c r="J131" s="39"/>
      <c r="K131" s="53"/>
      <c r="L131" s="53"/>
      <c r="M131" s="39"/>
      <c r="N131" s="32"/>
      <c r="O131" s="39"/>
      <c r="P131" s="53"/>
      <c r="Q131" s="53"/>
      <c r="R131" s="32"/>
      <c r="S131" s="32"/>
      <c r="T131" s="53"/>
      <c r="U131" s="53"/>
      <c r="V131" s="53"/>
      <c r="W131" s="54"/>
      <c r="X131" s="54"/>
      <c r="Y131" s="54"/>
      <c r="Z131" s="32"/>
    </row>
  </sheetData>
  <mergeCells count="25">
    <mergeCell ref="AY8:BE8"/>
    <mergeCell ref="BF8:BJ8"/>
    <mergeCell ref="AC36:AG36"/>
    <mergeCell ref="AR8:AX8"/>
    <mergeCell ref="AJ8:AK8"/>
    <mergeCell ref="T6:W6"/>
    <mergeCell ref="AB6:AE6"/>
    <mergeCell ref="AF6:AG6"/>
    <mergeCell ref="O66:W66"/>
    <mergeCell ref="K36:M36"/>
    <mergeCell ref="R36:T36"/>
    <mergeCell ref="B66:G66"/>
    <mergeCell ref="I66:M66"/>
    <mergeCell ref="C36:D36"/>
    <mergeCell ref="O35:P35"/>
    <mergeCell ref="R35:T35"/>
    <mergeCell ref="F35:M35"/>
    <mergeCell ref="B35:D35"/>
    <mergeCell ref="B6:E6"/>
    <mergeCell ref="E3:F3"/>
    <mergeCell ref="I3:J3"/>
    <mergeCell ref="M3:N3"/>
    <mergeCell ref="J5:Q5"/>
    <mergeCell ref="B4:Q4"/>
    <mergeCell ref="B5:H5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092DA-0F65-C44A-A37D-A3330CA7438C}">
  <dimension ref="A1:S30"/>
  <sheetViews>
    <sheetView workbookViewId="0">
      <selection activeCell="E14" sqref="E14"/>
    </sheetView>
  </sheetViews>
  <sheetFormatPr baseColWidth="10" defaultRowHeight="15"/>
  <cols>
    <col min="1" max="1" width="20.33203125" bestFit="1" customWidth="1"/>
    <col min="2" max="2" width="14.83203125" bestFit="1" customWidth="1"/>
    <col min="3" max="8" width="9.6640625" customWidth="1"/>
    <col min="9" max="9" width="16.1640625" customWidth="1"/>
    <col min="10" max="10" width="19.33203125" customWidth="1"/>
    <col min="11" max="11" width="16.83203125" bestFit="1" customWidth="1"/>
    <col min="12" max="12" width="19" customWidth="1"/>
    <col min="13" max="13" width="8.1640625" customWidth="1"/>
    <col min="14" max="14" width="21.1640625" hidden="1" customWidth="1"/>
    <col min="15" max="15" width="22.6640625" hidden="1" customWidth="1"/>
    <col min="16" max="16" width="2.6640625" hidden="1" customWidth="1"/>
    <col min="17" max="17" width="14.5" hidden="1" customWidth="1"/>
    <col min="18" max="19" width="11.1640625" hidden="1" customWidth="1"/>
    <col min="20" max="20" width="11.1640625" bestFit="1" customWidth="1"/>
  </cols>
  <sheetData>
    <row r="1" spans="1:19">
      <c r="B1" t="s">
        <v>225</v>
      </c>
    </row>
    <row r="2" spans="1:19" ht="16" thickBot="1"/>
    <row r="3" spans="1:19" ht="49" thickBot="1">
      <c r="B3" s="118" t="s">
        <v>44</v>
      </c>
      <c r="C3" s="119" t="s">
        <v>45</v>
      </c>
      <c r="D3" s="119" t="s">
        <v>46</v>
      </c>
      <c r="E3" s="119" t="s">
        <v>47</v>
      </c>
      <c r="F3" s="162" t="s">
        <v>48</v>
      </c>
    </row>
    <row r="4" spans="1:19">
      <c r="B4" s="400">
        <v>70</v>
      </c>
      <c r="C4" s="400">
        <v>120</v>
      </c>
      <c r="D4" s="400">
        <v>125</v>
      </c>
      <c r="E4" s="400">
        <v>130</v>
      </c>
      <c r="F4" s="400">
        <v>110</v>
      </c>
      <c r="N4" t="s">
        <v>347</v>
      </c>
    </row>
    <row r="5" spans="1:19">
      <c r="B5" s="116">
        <v>50</v>
      </c>
      <c r="C5" s="55">
        <v>100</v>
      </c>
      <c r="D5" s="55">
        <v>150</v>
      </c>
      <c r="E5" s="55">
        <v>320</v>
      </c>
      <c r="F5" s="117">
        <v>80</v>
      </c>
    </row>
    <row r="6" spans="1:19" ht="32">
      <c r="E6" s="495" t="s">
        <v>349</v>
      </c>
      <c r="G6" s="495" t="s">
        <v>298</v>
      </c>
    </row>
    <row r="7" spans="1:19" s="403" customFormat="1" ht="48">
      <c r="A7" s="407" t="s">
        <v>203</v>
      </c>
      <c r="B7" s="406" t="s">
        <v>234</v>
      </c>
      <c r="C7" s="406" t="s">
        <v>244</v>
      </c>
      <c r="D7" s="406" t="s">
        <v>250</v>
      </c>
      <c r="E7" s="518" t="s">
        <v>281</v>
      </c>
      <c r="F7" s="406" t="s">
        <v>251</v>
      </c>
      <c r="G7" s="495" t="s">
        <v>252</v>
      </c>
      <c r="H7" s="406" t="s">
        <v>243</v>
      </c>
      <c r="I7" s="406" t="s">
        <v>253</v>
      </c>
      <c r="J7" s="406" t="s">
        <v>268</v>
      </c>
      <c r="K7" s="406" t="s">
        <v>270</v>
      </c>
      <c r="L7" s="406" t="s">
        <v>278</v>
      </c>
      <c r="N7" s="403" t="s">
        <v>277</v>
      </c>
      <c r="R7" s="403" t="s">
        <v>186</v>
      </c>
      <c r="S7" s="403" t="s">
        <v>293</v>
      </c>
    </row>
    <row r="8" spans="1:19">
      <c r="A8" s="84" t="s">
        <v>237</v>
      </c>
      <c r="B8" t="s">
        <v>227</v>
      </c>
      <c r="C8">
        <v>130</v>
      </c>
      <c r="D8" s="45">
        <v>40</v>
      </c>
      <c r="E8" s="405">
        <f>G8</f>
        <v>85</v>
      </c>
      <c r="F8" s="45"/>
      <c r="G8" s="441">
        <f>'Convert Cadmus to Cost Cap'!C30</f>
        <v>85</v>
      </c>
      <c r="H8">
        <f>I8</f>
        <v>50</v>
      </c>
      <c r="I8">
        <v>50</v>
      </c>
      <c r="J8" s="195">
        <f>G8/D8-1</f>
        <v>1.125</v>
      </c>
      <c r="K8" s="195" t="s">
        <v>235</v>
      </c>
      <c r="L8" s="195">
        <f>N8/P8</f>
        <v>0.38461538461538464</v>
      </c>
      <c r="N8">
        <f>I8</f>
        <v>50</v>
      </c>
      <c r="O8" t="s">
        <v>227</v>
      </c>
      <c r="P8">
        <v>130</v>
      </c>
      <c r="Q8" t="s">
        <v>227</v>
      </c>
      <c r="R8">
        <v>130</v>
      </c>
      <c r="S8">
        <f>I8</f>
        <v>50</v>
      </c>
    </row>
    <row r="9" spans="1:19">
      <c r="A9" s="84" t="s">
        <v>238</v>
      </c>
      <c r="B9" t="s">
        <v>228</v>
      </c>
      <c r="C9">
        <v>130</v>
      </c>
      <c r="D9" s="45">
        <v>80</v>
      </c>
      <c r="E9" s="405">
        <f>(I9*G9+I10*G10)/H9</f>
        <v>132</v>
      </c>
      <c r="F9" s="45"/>
      <c r="G9" s="441">
        <f>'Convert Cadmus to Cost Cap'!C31</f>
        <v>160</v>
      </c>
      <c r="H9">
        <f>SUM(I9:I10)</f>
        <v>100</v>
      </c>
      <c r="I9">
        <v>60</v>
      </c>
      <c r="J9" s="195">
        <f t="shared" ref="J9:J19" si="0">G9/D9-1</f>
        <v>1</v>
      </c>
      <c r="K9" t="s">
        <v>271</v>
      </c>
      <c r="L9" s="195">
        <f>N9/P9</f>
        <v>0.76923076923076927</v>
      </c>
      <c r="N9">
        <f>I9+I10</f>
        <v>100</v>
      </c>
      <c r="O9" t="s">
        <v>228</v>
      </c>
      <c r="P9">
        <v>130</v>
      </c>
      <c r="Q9" t="s">
        <v>228</v>
      </c>
      <c r="R9">
        <v>130</v>
      </c>
      <c r="S9">
        <f>H9</f>
        <v>100</v>
      </c>
    </row>
    <row r="10" spans="1:19">
      <c r="A10" s="84" t="s">
        <v>238</v>
      </c>
      <c r="B10" t="s">
        <v>229</v>
      </c>
      <c r="D10" s="45">
        <v>80</v>
      </c>
      <c r="E10" s="405"/>
      <c r="F10" s="45"/>
      <c r="G10" s="441">
        <f>'Convert Cadmus to Cost Cap'!C32</f>
        <v>90</v>
      </c>
      <c r="I10">
        <v>40</v>
      </c>
      <c r="J10" s="195">
        <f t="shared" si="0"/>
        <v>0.125</v>
      </c>
      <c r="O10" t="s">
        <v>229</v>
      </c>
      <c r="Q10" t="s">
        <v>230</v>
      </c>
      <c r="R10">
        <v>150</v>
      </c>
      <c r="S10">
        <f>H11</f>
        <v>150</v>
      </c>
    </row>
    <row r="11" spans="1:19">
      <c r="A11" s="84" t="s">
        <v>236</v>
      </c>
      <c r="B11" t="s">
        <v>230</v>
      </c>
      <c r="C11">
        <v>150</v>
      </c>
      <c r="D11" s="45">
        <v>90</v>
      </c>
      <c r="E11" s="405">
        <f>(I11*G11+I12*G12+G13*I13)/H11</f>
        <v>90</v>
      </c>
      <c r="F11" s="45"/>
      <c r="G11" s="441">
        <f>'Convert Cadmus to Cost Cap'!C33</f>
        <v>90</v>
      </c>
      <c r="H11">
        <f>SUM(I11:I13)</f>
        <v>150</v>
      </c>
      <c r="I11">
        <v>70</v>
      </c>
      <c r="J11" s="195">
        <f t="shared" si="0"/>
        <v>0</v>
      </c>
      <c r="K11" t="s">
        <v>272</v>
      </c>
      <c r="L11" s="195">
        <f>N11/P11</f>
        <v>1</v>
      </c>
      <c r="N11">
        <f>SUM(I11:I13)</f>
        <v>150</v>
      </c>
      <c r="O11" t="s">
        <v>230</v>
      </c>
      <c r="P11">
        <v>150</v>
      </c>
      <c r="Q11" t="s">
        <v>226</v>
      </c>
      <c r="R11">
        <v>150</v>
      </c>
      <c r="S11">
        <f>I14</f>
        <v>150</v>
      </c>
    </row>
    <row r="12" spans="1:19">
      <c r="A12" s="84" t="s">
        <v>236</v>
      </c>
      <c r="B12" t="s">
        <v>232</v>
      </c>
      <c r="D12" s="45">
        <v>90</v>
      </c>
      <c r="E12" s="405"/>
      <c r="F12" s="45"/>
      <c r="G12" s="441">
        <f>'Convert Cadmus to Cost Cap'!C34</f>
        <v>90</v>
      </c>
      <c r="I12">
        <v>30</v>
      </c>
      <c r="J12" s="195">
        <f t="shared" si="0"/>
        <v>0</v>
      </c>
      <c r="O12" t="s">
        <v>232</v>
      </c>
      <c r="Q12" t="s">
        <v>294</v>
      </c>
      <c r="R12">
        <v>110</v>
      </c>
      <c r="S12">
        <f>I15+I17</f>
        <v>135</v>
      </c>
    </row>
    <row r="13" spans="1:19">
      <c r="A13" s="84" t="s">
        <v>236</v>
      </c>
      <c r="B13" t="s">
        <v>231</v>
      </c>
      <c r="D13" s="45">
        <v>90</v>
      </c>
      <c r="E13" s="405"/>
      <c r="F13" s="45"/>
      <c r="G13" s="441">
        <f>'Convert Cadmus to Cost Cap'!C35</f>
        <v>90</v>
      </c>
      <c r="I13">
        <v>50</v>
      </c>
      <c r="J13" s="195">
        <f t="shared" si="0"/>
        <v>0</v>
      </c>
      <c r="O13" t="s">
        <v>231</v>
      </c>
      <c r="Q13" t="s">
        <v>254</v>
      </c>
      <c r="R13">
        <v>40</v>
      </c>
      <c r="S13">
        <f>I16</f>
        <v>35</v>
      </c>
    </row>
    <row r="14" spans="1:19">
      <c r="A14" s="84" t="s">
        <v>239</v>
      </c>
      <c r="B14" t="s">
        <v>226</v>
      </c>
      <c r="C14">
        <v>150</v>
      </c>
      <c r="D14" s="45">
        <v>85</v>
      </c>
      <c r="E14" s="405">
        <f>(I14*G14+I15*G15+G16*I16+G17*I17)/H14</f>
        <v>105.75</v>
      </c>
      <c r="F14" s="45"/>
      <c r="G14" s="441">
        <f>'Convert Cadmus to Cost Cap'!C36</f>
        <v>78.5</v>
      </c>
      <c r="H14">
        <f>SUM(I14:I17)</f>
        <v>320</v>
      </c>
      <c r="I14">
        <v>150</v>
      </c>
      <c r="J14" s="195">
        <f t="shared" si="0"/>
        <v>-7.6470588235294068E-2</v>
      </c>
      <c r="K14" t="s">
        <v>273</v>
      </c>
      <c r="L14" s="195">
        <f>N14/P14</f>
        <v>1</v>
      </c>
      <c r="N14">
        <f>I14</f>
        <v>150</v>
      </c>
      <c r="O14" t="s">
        <v>226</v>
      </c>
      <c r="P14">
        <v>150</v>
      </c>
      <c r="Q14" t="s">
        <v>295</v>
      </c>
      <c r="R14">
        <v>40</v>
      </c>
      <c r="S14">
        <f>I18+I19</f>
        <v>80</v>
      </c>
    </row>
    <row r="15" spans="1:19">
      <c r="A15" s="84" t="s">
        <v>239</v>
      </c>
      <c r="B15" t="s">
        <v>233</v>
      </c>
      <c r="C15">
        <v>110</v>
      </c>
      <c r="D15" s="45">
        <v>85</v>
      </c>
      <c r="E15" s="405"/>
      <c r="F15" s="45">
        <f>(G15*I15+G16*I16+G17*I17+G18*I18+G19*I19)/SUM(I15:I19)</f>
        <v>116.18</v>
      </c>
      <c r="G15" s="441">
        <f>'Convert Cadmus to Cost Cap'!C37</f>
        <v>170</v>
      </c>
      <c r="I15">
        <v>25</v>
      </c>
      <c r="J15" s="195">
        <f t="shared" si="0"/>
        <v>1</v>
      </c>
      <c r="K15" t="s">
        <v>274</v>
      </c>
      <c r="L15" s="195">
        <f>N15/P15</f>
        <v>1.2272727272727273</v>
      </c>
      <c r="N15">
        <f>I15+I17</f>
        <v>135</v>
      </c>
      <c r="O15" t="s">
        <v>269</v>
      </c>
      <c r="P15">
        <v>110</v>
      </c>
    </row>
    <row r="16" spans="1:19">
      <c r="A16" s="84" t="s">
        <v>239</v>
      </c>
      <c r="B16" t="s">
        <v>254</v>
      </c>
      <c r="C16">
        <v>40</v>
      </c>
      <c r="D16" s="45">
        <v>85</v>
      </c>
      <c r="E16" s="405"/>
      <c r="F16" s="45"/>
      <c r="G16" s="441">
        <f>'Convert Cadmus to Cost Cap'!C38</f>
        <v>118.5</v>
      </c>
      <c r="I16">
        <v>35</v>
      </c>
      <c r="J16" s="195">
        <f t="shared" si="0"/>
        <v>0.39411764705882346</v>
      </c>
      <c r="K16" t="s">
        <v>275</v>
      </c>
      <c r="L16" s="195">
        <f>N16/P16</f>
        <v>0.875</v>
      </c>
      <c r="N16">
        <f>I16</f>
        <v>35</v>
      </c>
      <c r="O16" t="s">
        <v>254</v>
      </c>
      <c r="P16">
        <v>40</v>
      </c>
    </row>
    <row r="17" spans="1:16">
      <c r="A17" s="84" t="s">
        <v>239</v>
      </c>
      <c r="B17" t="s">
        <v>255</v>
      </c>
      <c r="D17" s="45">
        <v>85</v>
      </c>
      <c r="E17" s="405"/>
      <c r="F17" s="45"/>
      <c r="G17" s="441">
        <f>'Convert Cadmus to Cost Cap'!C39</f>
        <v>124.25</v>
      </c>
      <c r="I17">
        <v>110</v>
      </c>
      <c r="J17" s="195">
        <f t="shared" si="0"/>
        <v>0.46176470588235285</v>
      </c>
    </row>
    <row r="18" spans="1:16">
      <c r="A18" s="84" t="s">
        <v>240</v>
      </c>
      <c r="B18" t="s">
        <v>256</v>
      </c>
      <c r="C18">
        <v>40</v>
      </c>
      <c r="D18" s="45">
        <v>80</v>
      </c>
      <c r="E18" s="405">
        <f>(I18*G18+I19*G19)/H18</f>
        <v>87.25</v>
      </c>
      <c r="F18" s="45"/>
      <c r="G18" s="441">
        <f>'Convert Cadmus to Cost Cap'!C40</f>
        <v>86</v>
      </c>
      <c r="H18">
        <f>SUM(I18:I19)</f>
        <v>80</v>
      </c>
      <c r="I18">
        <v>30</v>
      </c>
      <c r="J18" s="195">
        <f t="shared" si="0"/>
        <v>7.4999999999999956E-2</v>
      </c>
      <c r="K18" t="s">
        <v>276</v>
      </c>
      <c r="L18" s="195">
        <f>N18/P18</f>
        <v>2</v>
      </c>
      <c r="N18">
        <f>I18+I19</f>
        <v>80</v>
      </c>
      <c r="O18" t="s">
        <v>256</v>
      </c>
      <c r="P18">
        <v>40</v>
      </c>
    </row>
    <row r="19" spans="1:16">
      <c r="A19" s="84" t="s">
        <v>240</v>
      </c>
      <c r="B19" t="s">
        <v>257</v>
      </c>
      <c r="D19" s="45">
        <v>80</v>
      </c>
      <c r="E19" s="45"/>
      <c r="F19" s="45"/>
      <c r="G19" s="441">
        <f>'Convert Cadmus to Cost Cap'!C41</f>
        <v>88</v>
      </c>
      <c r="I19">
        <v>50</v>
      </c>
      <c r="J19" s="195">
        <f t="shared" si="0"/>
        <v>0.10000000000000009</v>
      </c>
      <c r="O19" t="s">
        <v>257</v>
      </c>
    </row>
    <row r="20" spans="1:16">
      <c r="A20" s="416" t="s">
        <v>242</v>
      </c>
      <c r="B20" s="417"/>
      <c r="C20" s="417"/>
      <c r="D20" s="417"/>
      <c r="E20" s="417"/>
      <c r="F20" s="417"/>
      <c r="G20" s="417"/>
      <c r="H20" s="417">
        <f>SUM(H8:H19)</f>
        <v>700</v>
      </c>
      <c r="I20" s="417">
        <f>SUM(I8:I19)</f>
        <v>700</v>
      </c>
      <c r="J20" s="418"/>
      <c r="K20" s="419"/>
      <c r="L20" s="419"/>
    </row>
    <row r="22" spans="1:16">
      <c r="B22" s="401" t="s">
        <v>245</v>
      </c>
    </row>
    <row r="23" spans="1:16">
      <c r="A23" s="401" t="s">
        <v>247</v>
      </c>
      <c r="B23" t="s">
        <v>237</v>
      </c>
      <c r="C23" t="s">
        <v>238</v>
      </c>
      <c r="D23" t="s">
        <v>236</v>
      </c>
      <c r="E23" t="s">
        <v>239</v>
      </c>
      <c r="F23" t="s">
        <v>240</v>
      </c>
      <c r="G23" t="s">
        <v>241</v>
      </c>
      <c r="I23" s="440" t="s">
        <v>299</v>
      </c>
    </row>
    <row r="24" spans="1:16">
      <c r="A24" s="404" t="s">
        <v>246</v>
      </c>
      <c r="B24" s="402">
        <v>50</v>
      </c>
      <c r="C24" s="402">
        <v>100</v>
      </c>
      <c r="D24" s="402">
        <v>150</v>
      </c>
      <c r="E24" s="402">
        <v>320</v>
      </c>
      <c r="F24" s="402">
        <v>80</v>
      </c>
      <c r="G24" s="402">
        <v>700</v>
      </c>
      <c r="I24" t="s">
        <v>300</v>
      </c>
    </row>
    <row r="25" spans="1:16">
      <c r="A25" s="404" t="s">
        <v>282</v>
      </c>
      <c r="B25" s="402">
        <v>85</v>
      </c>
      <c r="C25" s="402">
        <v>132</v>
      </c>
      <c r="D25" s="402">
        <v>90</v>
      </c>
      <c r="E25" s="402">
        <v>105.75</v>
      </c>
      <c r="F25" s="402">
        <v>87.25</v>
      </c>
      <c r="G25" s="402">
        <v>500</v>
      </c>
      <c r="I25" t="s">
        <v>324</v>
      </c>
    </row>
    <row r="26" spans="1:16">
      <c r="A26" s="404" t="s">
        <v>282</v>
      </c>
      <c r="B26" s="402">
        <v>70</v>
      </c>
      <c r="C26" s="402">
        <v>102</v>
      </c>
      <c r="D26" s="402">
        <v>125</v>
      </c>
      <c r="E26" s="402">
        <v>125.3125</v>
      </c>
      <c r="F26" s="402">
        <v>116.25</v>
      </c>
      <c r="G26" s="402">
        <v>538.5625</v>
      </c>
      <c r="I26" t="s">
        <v>325</v>
      </c>
    </row>
    <row r="27" spans="1:16">
      <c r="I27" t="s">
        <v>335</v>
      </c>
    </row>
    <row r="29" spans="1:16">
      <c r="A29" t="s">
        <v>291</v>
      </c>
      <c r="B29">
        <f>SUM(I15:I19)</f>
        <v>250</v>
      </c>
    </row>
    <row r="30" spans="1:16">
      <c r="A30" t="s">
        <v>292</v>
      </c>
      <c r="B30">
        <f>SUM(C15:C19)</f>
        <v>190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F6583-87B3-B241-9028-5E1E42F98DD6}">
  <dimension ref="A1:K41"/>
  <sheetViews>
    <sheetView topLeftCell="A5" workbookViewId="0">
      <selection activeCell="B29" sqref="B29"/>
    </sheetView>
  </sheetViews>
  <sheetFormatPr baseColWidth="10" defaultRowHeight="15"/>
  <cols>
    <col min="1" max="2" width="24.83203125" bestFit="1" customWidth="1"/>
    <col min="8" max="8" width="14.83203125" customWidth="1"/>
    <col min="9" max="9" width="19.83203125" bestFit="1" customWidth="1"/>
  </cols>
  <sheetData>
    <row r="1" spans="1:11">
      <c r="B1" s="192" t="s">
        <v>321</v>
      </c>
      <c r="D1" s="192" t="s">
        <v>322</v>
      </c>
    </row>
    <row r="2" spans="1:11">
      <c r="A2" s="497"/>
      <c r="B2" s="497"/>
      <c r="C2" s="497"/>
    </row>
    <row r="3" spans="1:11" ht="16">
      <c r="B3" s="496" t="s">
        <v>301</v>
      </c>
      <c r="C3" s="496">
        <v>2020</v>
      </c>
      <c r="D3" s="496">
        <v>2021</v>
      </c>
      <c r="E3" s="192">
        <v>2021</v>
      </c>
      <c r="F3" s="192" t="s">
        <v>323</v>
      </c>
      <c r="J3" s="192" t="s">
        <v>339</v>
      </c>
      <c r="K3" s="192" t="s">
        <v>340</v>
      </c>
    </row>
    <row r="4" spans="1:11" ht="16">
      <c r="A4">
        <v>1</v>
      </c>
      <c r="B4" t="s">
        <v>302</v>
      </c>
      <c r="C4" s="369">
        <v>60</v>
      </c>
      <c r="D4" s="369">
        <v>65</v>
      </c>
      <c r="E4" s="369">
        <v>65</v>
      </c>
      <c r="F4" s="369">
        <v>65</v>
      </c>
      <c r="G4" s="499">
        <f>ROUND(C27*F10+D27*F4,2)</f>
        <v>86</v>
      </c>
      <c r="H4" s="500" t="s">
        <v>327</v>
      </c>
      <c r="J4" t="str">
        <f>B4</f>
        <v xml:space="preserve">Comm_DO_Ground_lg </v>
      </c>
      <c r="K4" s="501">
        <f>F4</f>
        <v>65</v>
      </c>
    </row>
    <row r="5" spans="1:11" ht="16">
      <c r="A5">
        <v>3</v>
      </c>
      <c r="B5" t="s">
        <v>303</v>
      </c>
      <c r="C5" s="369">
        <v>75</v>
      </c>
      <c r="D5" s="369">
        <v>80</v>
      </c>
      <c r="F5" s="369">
        <v>80</v>
      </c>
      <c r="G5" s="499">
        <f>ROUND(C27*F11+D27*F5,2)</f>
        <v>118.5</v>
      </c>
      <c r="H5" s="500" t="s">
        <v>328</v>
      </c>
      <c r="J5" t="str">
        <f t="shared" ref="J5:J22" si="0">B5</f>
        <v xml:space="preserve">Comm_DO_Ground_med </v>
      </c>
      <c r="K5" s="501">
        <f t="shared" ref="K5:K22" si="1">F5</f>
        <v>80</v>
      </c>
    </row>
    <row r="6" spans="1:11" ht="16">
      <c r="A6">
        <v>5</v>
      </c>
      <c r="B6" t="s">
        <v>304</v>
      </c>
      <c r="C6" s="369">
        <v>65</v>
      </c>
      <c r="D6" s="369">
        <v>70</v>
      </c>
      <c r="E6">
        <v>60</v>
      </c>
      <c r="F6" s="369">
        <v>60</v>
      </c>
      <c r="G6" s="499">
        <f>ROUND(C27*F12+D27*F6,2)</f>
        <v>88</v>
      </c>
      <c r="H6" s="500" t="s">
        <v>329</v>
      </c>
      <c r="J6" t="str">
        <f t="shared" si="0"/>
        <v xml:space="preserve">Comm_DO_Roof_lg </v>
      </c>
      <c r="K6" s="501">
        <f t="shared" si="1"/>
        <v>60</v>
      </c>
    </row>
    <row r="7" spans="1:11" ht="16">
      <c r="A7">
        <v>7</v>
      </c>
      <c r="B7" t="s">
        <v>305</v>
      </c>
      <c r="C7" s="369">
        <v>80</v>
      </c>
      <c r="D7" s="369">
        <v>85</v>
      </c>
      <c r="E7">
        <v>80</v>
      </c>
      <c r="F7" s="369">
        <v>80</v>
      </c>
      <c r="G7" s="369">
        <f>AVERAGE(F7:F8)</f>
        <v>87.5</v>
      </c>
      <c r="H7" s="499">
        <f>ROUND(C27*G13+D27*G7,2)</f>
        <v>124.25</v>
      </c>
      <c r="I7" s="500" t="s">
        <v>334</v>
      </c>
      <c r="J7" t="str">
        <f t="shared" si="0"/>
        <v xml:space="preserve">Comm_DO_Roof_med </v>
      </c>
      <c r="K7" s="501">
        <f t="shared" si="1"/>
        <v>80</v>
      </c>
    </row>
    <row r="8" spans="1:11">
      <c r="A8">
        <v>9</v>
      </c>
      <c r="B8" t="s">
        <v>306</v>
      </c>
      <c r="C8" s="369">
        <v>100</v>
      </c>
      <c r="D8" s="369">
        <v>110</v>
      </c>
      <c r="E8">
        <v>95</v>
      </c>
      <c r="F8" s="369">
        <v>95</v>
      </c>
      <c r="J8" t="str">
        <f t="shared" si="0"/>
        <v xml:space="preserve">Comm_DO_Roof_sm </v>
      </c>
      <c r="K8" s="501">
        <f t="shared" si="1"/>
        <v>95</v>
      </c>
    </row>
    <row r="9" spans="1:11">
      <c r="A9">
        <v>11</v>
      </c>
      <c r="B9" t="s">
        <v>307</v>
      </c>
      <c r="C9" s="369">
        <v>170</v>
      </c>
      <c r="D9" s="369">
        <v>180</v>
      </c>
      <c r="E9">
        <v>170</v>
      </c>
      <c r="F9" s="369">
        <v>170</v>
      </c>
      <c r="J9" t="str">
        <f t="shared" si="0"/>
        <v xml:space="preserve">Comm_TPO_Carport </v>
      </c>
      <c r="K9" s="501">
        <f t="shared" si="1"/>
        <v>170</v>
      </c>
    </row>
    <row r="10" spans="1:11">
      <c r="A10">
        <v>13</v>
      </c>
      <c r="B10" t="s">
        <v>308</v>
      </c>
      <c r="C10" s="369">
        <v>95</v>
      </c>
      <c r="D10" s="369">
        <v>105</v>
      </c>
      <c r="E10">
        <v>95</v>
      </c>
      <c r="F10" s="369">
        <v>95</v>
      </c>
      <c r="J10" t="str">
        <f t="shared" si="0"/>
        <v xml:space="preserve">Comm_TPO_Ground_lg </v>
      </c>
      <c r="K10" s="501">
        <f t="shared" si="1"/>
        <v>95</v>
      </c>
    </row>
    <row r="11" spans="1:11">
      <c r="A11">
        <v>15</v>
      </c>
      <c r="B11" t="s">
        <v>309</v>
      </c>
      <c r="C11" s="369">
        <v>135</v>
      </c>
      <c r="D11" s="369">
        <v>140</v>
      </c>
      <c r="E11">
        <v>135</v>
      </c>
      <c r="F11" s="369">
        <v>135</v>
      </c>
      <c r="J11" t="str">
        <f t="shared" si="0"/>
        <v xml:space="preserve">Comm_TPO_Ground_med </v>
      </c>
      <c r="K11" s="501">
        <f t="shared" si="1"/>
        <v>135</v>
      </c>
    </row>
    <row r="12" spans="1:11">
      <c r="A12">
        <v>17</v>
      </c>
      <c r="B12" t="s">
        <v>310</v>
      </c>
      <c r="C12" s="369">
        <v>105</v>
      </c>
      <c r="D12" s="369">
        <v>110</v>
      </c>
      <c r="E12">
        <v>100</v>
      </c>
      <c r="F12" s="369">
        <v>100</v>
      </c>
      <c r="J12" t="str">
        <f t="shared" si="0"/>
        <v xml:space="preserve">Comm_TPO_Roof_lg </v>
      </c>
      <c r="K12" s="501">
        <f t="shared" si="1"/>
        <v>100</v>
      </c>
    </row>
    <row r="13" spans="1:11">
      <c r="A13">
        <v>19</v>
      </c>
      <c r="B13" t="s">
        <v>311</v>
      </c>
      <c r="C13" s="369">
        <v>135</v>
      </c>
      <c r="D13" s="369">
        <v>140</v>
      </c>
      <c r="E13">
        <v>130</v>
      </c>
      <c r="F13" s="369">
        <v>130</v>
      </c>
      <c r="G13" s="369">
        <f>AVERAGE(F13:F14)</f>
        <v>140</v>
      </c>
      <c r="J13" t="str">
        <f t="shared" si="0"/>
        <v xml:space="preserve">Comm_TPO_Roof_med </v>
      </c>
      <c r="K13" s="501">
        <f t="shared" si="1"/>
        <v>130</v>
      </c>
    </row>
    <row r="14" spans="1:11">
      <c r="A14">
        <v>21</v>
      </c>
      <c r="B14" t="s">
        <v>312</v>
      </c>
      <c r="C14" s="369">
        <v>150</v>
      </c>
      <c r="D14" s="369">
        <v>155</v>
      </c>
      <c r="E14">
        <v>150</v>
      </c>
      <c r="F14" s="369">
        <v>150</v>
      </c>
      <c r="J14" t="str">
        <f t="shared" si="0"/>
        <v xml:space="preserve">Comm_TPO_Roof_sm </v>
      </c>
      <c r="K14" s="501">
        <f t="shared" si="1"/>
        <v>150</v>
      </c>
    </row>
    <row r="15" spans="1:11">
      <c r="A15">
        <v>23</v>
      </c>
      <c r="B15" t="s">
        <v>313</v>
      </c>
      <c r="C15" s="369">
        <v>50</v>
      </c>
      <c r="D15" s="369">
        <v>55</v>
      </c>
      <c r="E15">
        <v>50</v>
      </c>
      <c r="F15" s="369">
        <v>90</v>
      </c>
      <c r="J15" t="str">
        <f t="shared" si="0"/>
        <v xml:space="preserve">CS_Ground </v>
      </c>
      <c r="K15" s="501">
        <f t="shared" si="1"/>
        <v>90</v>
      </c>
    </row>
    <row r="16" spans="1:11">
      <c r="A16">
        <v>25</v>
      </c>
      <c r="B16" t="s">
        <v>314</v>
      </c>
      <c r="C16" s="369">
        <v>55</v>
      </c>
      <c r="D16" s="369">
        <v>60</v>
      </c>
      <c r="E16">
        <v>50</v>
      </c>
      <c r="F16" s="369">
        <v>90</v>
      </c>
      <c r="J16" t="str">
        <f t="shared" si="0"/>
        <v xml:space="preserve">CS_Roof_lg </v>
      </c>
      <c r="K16" s="501">
        <f t="shared" si="1"/>
        <v>90</v>
      </c>
    </row>
    <row r="17" spans="1:11">
      <c r="A17">
        <v>27</v>
      </c>
      <c r="B17" t="s">
        <v>315</v>
      </c>
      <c r="C17" s="369">
        <v>90</v>
      </c>
      <c r="D17" s="369">
        <v>100</v>
      </c>
      <c r="E17">
        <v>90</v>
      </c>
      <c r="F17" s="369">
        <v>90</v>
      </c>
      <c r="J17" t="str">
        <f t="shared" si="0"/>
        <v xml:space="preserve">CS_Roof_med </v>
      </c>
      <c r="K17" s="501">
        <f t="shared" si="1"/>
        <v>90</v>
      </c>
    </row>
    <row r="18" spans="1:11">
      <c r="A18">
        <v>29</v>
      </c>
      <c r="B18" t="s">
        <v>316</v>
      </c>
      <c r="C18" s="369">
        <v>85</v>
      </c>
      <c r="D18" s="369">
        <v>85</v>
      </c>
      <c r="F18" s="369">
        <v>85</v>
      </c>
      <c r="J18" t="str">
        <f t="shared" si="0"/>
        <v xml:space="preserve">Grid_Ground </v>
      </c>
      <c r="K18" s="501">
        <f t="shared" si="1"/>
        <v>85</v>
      </c>
    </row>
    <row r="19" spans="1:11">
      <c r="A19">
        <v>31</v>
      </c>
      <c r="B19" t="s">
        <v>317</v>
      </c>
      <c r="C19" s="369">
        <v>50</v>
      </c>
      <c r="D19" s="369">
        <v>50</v>
      </c>
      <c r="F19" s="369">
        <v>50</v>
      </c>
      <c r="J19" t="str">
        <f t="shared" si="0"/>
        <v xml:space="preserve">Grid_Ground_OOS </v>
      </c>
      <c r="K19" s="501">
        <f t="shared" si="1"/>
        <v>50</v>
      </c>
    </row>
    <row r="20" spans="1:11">
      <c r="A20">
        <v>33</v>
      </c>
      <c r="B20" t="s">
        <v>318</v>
      </c>
      <c r="C20" s="369">
        <v>90</v>
      </c>
      <c r="D20" s="369">
        <v>90</v>
      </c>
      <c r="F20" s="369">
        <v>90</v>
      </c>
      <c r="J20" t="str">
        <f t="shared" si="0"/>
        <v xml:space="preserve">Grid_Roof </v>
      </c>
      <c r="K20" s="501">
        <f t="shared" si="1"/>
        <v>90</v>
      </c>
    </row>
    <row r="21" spans="1:11" ht="16">
      <c r="A21">
        <v>35</v>
      </c>
      <c r="B21" t="s">
        <v>319</v>
      </c>
      <c r="C21" s="369">
        <v>85</v>
      </c>
      <c r="D21" s="369">
        <v>95</v>
      </c>
      <c r="E21">
        <v>75</v>
      </c>
      <c r="F21" s="369">
        <v>75</v>
      </c>
      <c r="G21" s="499">
        <f>ROUND(C26*F22+D26*F21,2)</f>
        <v>78.5</v>
      </c>
      <c r="H21" s="500" t="s">
        <v>330</v>
      </c>
      <c r="J21" t="str">
        <f t="shared" si="0"/>
        <v xml:space="preserve">Resi_DO_Roof [1] </v>
      </c>
      <c r="K21" s="501">
        <f t="shared" si="1"/>
        <v>75</v>
      </c>
    </row>
    <row r="22" spans="1:11">
      <c r="A22">
        <v>37</v>
      </c>
      <c r="B22" t="s">
        <v>320</v>
      </c>
      <c r="C22" s="369">
        <v>85</v>
      </c>
      <c r="D22" s="369">
        <v>95</v>
      </c>
      <c r="E22">
        <v>80</v>
      </c>
      <c r="F22" s="369">
        <v>80</v>
      </c>
      <c r="J22" t="str">
        <f t="shared" si="0"/>
        <v xml:space="preserve">Resi_TPO_Roof </v>
      </c>
      <c r="K22" s="501">
        <f t="shared" si="1"/>
        <v>80</v>
      </c>
    </row>
    <row r="24" spans="1:11">
      <c r="C24" t="s">
        <v>331</v>
      </c>
    </row>
    <row r="25" spans="1:11">
      <c r="C25" t="s">
        <v>296</v>
      </c>
      <c r="D25" t="s">
        <v>297</v>
      </c>
    </row>
    <row r="26" spans="1:11">
      <c r="B26" t="s">
        <v>332</v>
      </c>
      <c r="C26">
        <v>0.7</v>
      </c>
      <c r="D26">
        <f>1-C26</f>
        <v>0.30000000000000004</v>
      </c>
    </row>
    <row r="27" spans="1:11">
      <c r="B27" t="s">
        <v>333</v>
      </c>
      <c r="C27">
        <v>0.7</v>
      </c>
      <c r="D27">
        <f>1-C27</f>
        <v>0.30000000000000004</v>
      </c>
    </row>
    <row r="29" spans="1:11">
      <c r="B29" s="192" t="s">
        <v>348</v>
      </c>
      <c r="C29" s="14"/>
    </row>
    <row r="30" spans="1:11">
      <c r="B30" t="s">
        <v>227</v>
      </c>
      <c r="C30" s="519">
        <f>F18</f>
        <v>85</v>
      </c>
    </row>
    <row r="31" spans="1:11">
      <c r="B31" t="s">
        <v>228</v>
      </c>
      <c r="C31" s="519">
        <f>F9-10</f>
        <v>160</v>
      </c>
    </row>
    <row r="32" spans="1:11">
      <c r="B32" t="s">
        <v>229</v>
      </c>
      <c r="C32" s="519">
        <f>F20</f>
        <v>90</v>
      </c>
    </row>
    <row r="33" spans="2:3">
      <c r="B33" t="s">
        <v>230</v>
      </c>
      <c r="C33" s="519">
        <f>F15</f>
        <v>90</v>
      </c>
    </row>
    <row r="34" spans="2:3">
      <c r="B34" t="s">
        <v>232</v>
      </c>
      <c r="C34" s="519">
        <f>F16</f>
        <v>90</v>
      </c>
    </row>
    <row r="35" spans="2:3">
      <c r="B35" t="s">
        <v>231</v>
      </c>
      <c r="C35" s="519">
        <f>F17</f>
        <v>90</v>
      </c>
    </row>
    <row r="36" spans="2:3">
      <c r="B36" t="s">
        <v>226</v>
      </c>
      <c r="C36" s="520">
        <f>G21</f>
        <v>78.5</v>
      </c>
    </row>
    <row r="37" spans="2:3">
      <c r="B37" t="s">
        <v>233</v>
      </c>
      <c r="C37" s="519">
        <f>F9</f>
        <v>170</v>
      </c>
    </row>
    <row r="38" spans="2:3">
      <c r="B38" t="s">
        <v>254</v>
      </c>
      <c r="C38" s="520">
        <f>G5</f>
        <v>118.5</v>
      </c>
    </row>
    <row r="39" spans="2:3">
      <c r="B39" t="s">
        <v>255</v>
      </c>
      <c r="C39" s="520">
        <f>H7</f>
        <v>124.25</v>
      </c>
    </row>
    <row r="40" spans="2:3">
      <c r="B40" t="s">
        <v>256</v>
      </c>
      <c r="C40" s="520">
        <f>G4</f>
        <v>86</v>
      </c>
    </row>
    <row r="41" spans="2:3">
      <c r="B41" t="s">
        <v>257</v>
      </c>
      <c r="C41" s="520">
        <f>G6</f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D154-3A6D-1A49-A611-9A7A6C428274}">
  <dimension ref="A1:E47"/>
  <sheetViews>
    <sheetView topLeftCell="A12" workbookViewId="0">
      <selection activeCell="E46" sqref="E46"/>
    </sheetView>
  </sheetViews>
  <sheetFormatPr baseColWidth="10" defaultRowHeight="15"/>
  <sheetData>
    <row r="1" spans="1:5">
      <c r="A1" t="s">
        <v>105</v>
      </c>
    </row>
    <row r="9" spans="1:5">
      <c r="B9" t="s">
        <v>98</v>
      </c>
      <c r="C9" t="s">
        <v>102</v>
      </c>
    </row>
    <row r="10" spans="1:5">
      <c r="A10" t="s">
        <v>95</v>
      </c>
      <c r="B10" t="s">
        <v>99</v>
      </c>
      <c r="C10" t="s">
        <v>103</v>
      </c>
    </row>
    <row r="11" spans="1:5">
      <c r="A11" t="s">
        <v>96</v>
      </c>
      <c r="B11" t="s">
        <v>100</v>
      </c>
      <c r="C11" t="s">
        <v>104</v>
      </c>
    </row>
    <row r="12" spans="1:5">
      <c r="A12" t="s">
        <v>97</v>
      </c>
      <c r="B12" t="s">
        <v>101</v>
      </c>
      <c r="C12" t="s">
        <v>101</v>
      </c>
    </row>
    <row r="13" spans="1:5">
      <c r="A13" s="192" t="s">
        <v>108</v>
      </c>
      <c r="B13" s="192"/>
      <c r="C13" s="192" t="s">
        <v>109</v>
      </c>
      <c r="D13" s="192" t="s">
        <v>106</v>
      </c>
      <c r="E13" s="192" t="s">
        <v>107</v>
      </c>
    </row>
    <row r="14" spans="1:5">
      <c r="A14">
        <v>2020</v>
      </c>
      <c r="C14">
        <v>10.813847000000001</v>
      </c>
    </row>
    <row r="15" spans="1:5">
      <c r="A15">
        <v>2021</v>
      </c>
      <c r="C15">
        <v>11.590366</v>
      </c>
      <c r="D15">
        <f>AVERAGE(C13:C15)</f>
        <v>11.202106499999999</v>
      </c>
    </row>
    <row r="16" spans="1:5">
      <c r="A16">
        <v>2022</v>
      </c>
      <c r="C16">
        <v>11.437614999999999</v>
      </c>
      <c r="D16">
        <f>AVERAGE(C14:C16)</f>
        <v>11.280609333333333</v>
      </c>
      <c r="E16">
        <f>D16/D15-1</f>
        <v>7.0078635061479044E-3</v>
      </c>
    </row>
    <row r="17" spans="1:5">
      <c r="A17">
        <v>2023</v>
      </c>
      <c r="C17">
        <v>11.776851000000001</v>
      </c>
      <c r="D17">
        <f t="shared" ref="D17:D44" si="0">AVERAGE(C15:C17)</f>
        <v>11.601610666666666</v>
      </c>
      <c r="E17">
        <f t="shared" ref="E17:E44" si="1">D17/D16-1</f>
        <v>2.8456027848141163E-2</v>
      </c>
    </row>
    <row r="18" spans="1:5">
      <c r="A18">
        <v>2024</v>
      </c>
      <c r="C18">
        <v>12.374957999999999</v>
      </c>
      <c r="D18">
        <f t="shared" si="0"/>
        <v>11.863141333333333</v>
      </c>
      <c r="E18">
        <f t="shared" si="1"/>
        <v>2.2542617071100945E-2</v>
      </c>
    </row>
    <row r="19" spans="1:5">
      <c r="A19">
        <v>2025</v>
      </c>
      <c r="C19">
        <v>12.550832</v>
      </c>
      <c r="D19">
        <f t="shared" si="0"/>
        <v>12.234213666666667</v>
      </c>
      <c r="E19">
        <f t="shared" si="1"/>
        <v>3.1279432901190063E-2</v>
      </c>
    </row>
    <row r="20" spans="1:5">
      <c r="A20">
        <v>2026</v>
      </c>
      <c r="C20">
        <v>13.059248999999999</v>
      </c>
      <c r="D20">
        <f t="shared" si="0"/>
        <v>12.661679666666666</v>
      </c>
      <c r="E20">
        <f t="shared" si="1"/>
        <v>3.4940210433358043E-2</v>
      </c>
    </row>
    <row r="21" spans="1:5">
      <c r="A21">
        <v>2027</v>
      </c>
      <c r="C21">
        <v>13.51844</v>
      </c>
      <c r="D21">
        <f t="shared" si="0"/>
        <v>13.042840333333332</v>
      </c>
      <c r="E21">
        <f t="shared" si="1"/>
        <v>3.0103483637334172E-2</v>
      </c>
    </row>
    <row r="22" spans="1:5">
      <c r="A22">
        <v>2028</v>
      </c>
      <c r="C22">
        <v>13.895530000000001</v>
      </c>
      <c r="D22">
        <f t="shared" si="0"/>
        <v>13.491073</v>
      </c>
      <c r="E22">
        <f t="shared" si="1"/>
        <v>3.4366185218194234E-2</v>
      </c>
    </row>
    <row r="23" spans="1:5">
      <c r="A23">
        <v>2029</v>
      </c>
      <c r="C23">
        <v>14.502848999999999</v>
      </c>
      <c r="D23">
        <f t="shared" si="0"/>
        <v>13.972272999999999</v>
      </c>
      <c r="E23">
        <f t="shared" si="1"/>
        <v>3.5668030259713213E-2</v>
      </c>
    </row>
    <row r="24" spans="1:5">
      <c r="A24">
        <v>2030</v>
      </c>
      <c r="C24">
        <v>14.945209</v>
      </c>
      <c r="D24">
        <f t="shared" si="0"/>
        <v>14.447862666666666</v>
      </c>
      <c r="E24">
        <f t="shared" si="1"/>
        <v>3.4038102939061288E-2</v>
      </c>
    </row>
    <row r="25" spans="1:5">
      <c r="A25">
        <v>2031</v>
      </c>
      <c r="C25">
        <v>15.022382</v>
      </c>
      <c r="D25">
        <f t="shared" si="0"/>
        <v>14.823479999999998</v>
      </c>
      <c r="E25">
        <f t="shared" si="1"/>
        <v>2.599812456689099E-2</v>
      </c>
    </row>
    <row r="26" spans="1:5">
      <c r="A26">
        <v>2032</v>
      </c>
      <c r="C26">
        <v>15.168582000000001</v>
      </c>
      <c r="D26">
        <f t="shared" si="0"/>
        <v>15.045391</v>
      </c>
      <c r="E26">
        <f t="shared" si="1"/>
        <v>1.4970236408724746E-2</v>
      </c>
    </row>
    <row r="27" spans="1:5">
      <c r="A27">
        <v>2033</v>
      </c>
      <c r="C27">
        <v>16.165185999999999</v>
      </c>
      <c r="D27">
        <f t="shared" si="0"/>
        <v>15.45205</v>
      </c>
      <c r="E27">
        <f t="shared" si="1"/>
        <v>2.7028809021978795E-2</v>
      </c>
    </row>
    <row r="28" spans="1:5">
      <c r="A28">
        <v>2034</v>
      </c>
      <c r="C28">
        <v>16.481570999999999</v>
      </c>
      <c r="D28">
        <f t="shared" si="0"/>
        <v>15.938446333333331</v>
      </c>
      <c r="E28">
        <f t="shared" si="1"/>
        <v>3.147778665829648E-2</v>
      </c>
    </row>
    <row r="29" spans="1:5">
      <c r="A29">
        <v>2035</v>
      </c>
      <c r="C29">
        <v>16.952385</v>
      </c>
      <c r="D29">
        <f t="shared" si="0"/>
        <v>16.533047333333332</v>
      </c>
      <c r="E29">
        <f t="shared" si="1"/>
        <v>3.7306082886916281E-2</v>
      </c>
    </row>
    <row r="30" spans="1:5">
      <c r="A30">
        <v>2036</v>
      </c>
      <c r="C30">
        <v>17.211639000000002</v>
      </c>
      <c r="D30">
        <f t="shared" si="0"/>
        <v>16.881865000000001</v>
      </c>
      <c r="E30">
        <f t="shared" si="1"/>
        <v>2.1098207706899519E-2</v>
      </c>
    </row>
    <row r="31" spans="1:5">
      <c r="A31">
        <v>2037</v>
      </c>
      <c r="C31">
        <v>17.524445</v>
      </c>
      <c r="D31">
        <f t="shared" si="0"/>
        <v>17.229489666666666</v>
      </c>
      <c r="E31">
        <f t="shared" si="1"/>
        <v>2.0591603277639425E-2</v>
      </c>
    </row>
    <row r="32" spans="1:5">
      <c r="A32">
        <v>2038</v>
      </c>
      <c r="C32">
        <v>17.375579999999999</v>
      </c>
      <c r="D32">
        <f t="shared" si="0"/>
        <v>17.370554666666667</v>
      </c>
      <c r="E32">
        <f t="shared" si="1"/>
        <v>8.1874160366406379E-3</v>
      </c>
    </row>
    <row r="33" spans="1:5">
      <c r="A33">
        <v>2039</v>
      </c>
      <c r="C33">
        <v>17.705200000000001</v>
      </c>
      <c r="D33">
        <f t="shared" si="0"/>
        <v>17.535075000000003</v>
      </c>
      <c r="E33">
        <f t="shared" si="1"/>
        <v>9.4712193416046642E-3</v>
      </c>
    </row>
    <row r="34" spans="1:5">
      <c r="A34">
        <v>2040</v>
      </c>
      <c r="C34">
        <v>18.048259999999999</v>
      </c>
      <c r="D34">
        <f t="shared" si="0"/>
        <v>17.709680000000002</v>
      </c>
      <c r="E34">
        <f t="shared" si="1"/>
        <v>9.9574709546437212E-3</v>
      </c>
    </row>
    <row r="35" spans="1:5">
      <c r="A35">
        <v>2041</v>
      </c>
      <c r="C35">
        <v>18.431999000000001</v>
      </c>
      <c r="D35">
        <f t="shared" si="0"/>
        <v>18.061819666666668</v>
      </c>
      <c r="E35">
        <f t="shared" si="1"/>
        <v>1.9884021996256607E-2</v>
      </c>
    </row>
    <row r="36" spans="1:5">
      <c r="A36">
        <v>2042</v>
      </c>
      <c r="C36">
        <v>19.495730999999999</v>
      </c>
      <c r="D36">
        <f t="shared" si="0"/>
        <v>18.658663333333333</v>
      </c>
      <c r="E36">
        <f t="shared" si="1"/>
        <v>3.304449261932052E-2</v>
      </c>
    </row>
    <row r="37" spans="1:5">
      <c r="A37">
        <v>2043</v>
      </c>
      <c r="C37">
        <v>19.170636999999999</v>
      </c>
      <c r="D37">
        <f t="shared" si="0"/>
        <v>19.032788999999998</v>
      </c>
      <c r="E37">
        <f t="shared" si="1"/>
        <v>2.0051043313392025E-2</v>
      </c>
    </row>
    <row r="38" spans="1:5">
      <c r="A38">
        <v>2044</v>
      </c>
      <c r="C38">
        <v>20.187037</v>
      </c>
      <c r="D38">
        <f t="shared" si="0"/>
        <v>19.617801666666665</v>
      </c>
      <c r="E38">
        <f t="shared" si="1"/>
        <v>3.073709621152565E-2</v>
      </c>
    </row>
    <row r="39" spans="1:5">
      <c r="A39">
        <v>2045</v>
      </c>
      <c r="C39">
        <v>20.607427999999999</v>
      </c>
      <c r="D39">
        <f t="shared" si="0"/>
        <v>19.988367333333333</v>
      </c>
      <c r="E39">
        <f t="shared" si="1"/>
        <v>1.8889255430505791E-2</v>
      </c>
    </row>
    <row r="40" spans="1:5">
      <c r="A40">
        <v>2046</v>
      </c>
      <c r="C40">
        <v>20.369253</v>
      </c>
      <c r="D40">
        <f t="shared" si="0"/>
        <v>20.387906000000001</v>
      </c>
      <c r="E40">
        <f t="shared" si="1"/>
        <v>1.9988559345734291E-2</v>
      </c>
    </row>
    <row r="41" spans="1:5">
      <c r="A41">
        <v>2047</v>
      </c>
      <c r="C41">
        <v>21.588974</v>
      </c>
      <c r="D41">
        <f t="shared" si="0"/>
        <v>20.855218333333333</v>
      </c>
      <c r="E41">
        <f t="shared" si="1"/>
        <v>2.2921055910956722E-2</v>
      </c>
    </row>
    <row r="42" spans="1:5">
      <c r="A42">
        <v>2048</v>
      </c>
      <c r="C42">
        <v>22.102315999999998</v>
      </c>
      <c r="D42">
        <f t="shared" si="0"/>
        <v>21.353514333333333</v>
      </c>
      <c r="E42">
        <f t="shared" si="1"/>
        <v>2.3893108767102378E-2</v>
      </c>
    </row>
    <row r="43" spans="1:5">
      <c r="A43">
        <v>2049</v>
      </c>
      <c r="C43">
        <v>22.420283999999999</v>
      </c>
      <c r="D43">
        <f t="shared" si="0"/>
        <v>22.037191333333329</v>
      </c>
      <c r="E43">
        <f t="shared" si="1"/>
        <v>3.2017071725414237E-2</v>
      </c>
    </row>
    <row r="44" spans="1:5">
      <c r="A44">
        <v>2050</v>
      </c>
      <c r="C44">
        <v>22.747530000000001</v>
      </c>
      <c r="D44">
        <f t="shared" si="0"/>
        <v>22.423376666666666</v>
      </c>
      <c r="E44">
        <f t="shared" si="1"/>
        <v>1.7524253771359577E-2</v>
      </c>
    </row>
    <row r="46" spans="1:5">
      <c r="A46" t="s">
        <v>279</v>
      </c>
      <c r="C46" s="196">
        <f>(C34/C15)^(1/19)</f>
        <v>1.0235829957033298</v>
      </c>
    </row>
    <row r="47" spans="1:5">
      <c r="A47" t="s">
        <v>280</v>
      </c>
      <c r="C47" s="42">
        <f>(C24/C15)^(1/9)</f>
        <v>1.0286489916954775</v>
      </c>
      <c r="D47" s="42">
        <f>(D24/D15)^(1/9)</f>
        <v>1.0286750632323647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BE1AA-1CA0-D249-A122-F3D65EE9B5A1}">
  <dimension ref="A1:AA112"/>
  <sheetViews>
    <sheetView topLeftCell="A29" workbookViewId="0">
      <selection activeCell="A64" sqref="A64"/>
    </sheetView>
  </sheetViews>
  <sheetFormatPr baseColWidth="10" defaultRowHeight="15"/>
  <cols>
    <col min="1" max="1" width="13.5" customWidth="1"/>
    <col min="2" max="2" width="38.6640625" customWidth="1"/>
    <col min="3" max="24" width="9.33203125" customWidth="1"/>
    <col min="25" max="25" width="11.1640625" bestFit="1" customWidth="1"/>
  </cols>
  <sheetData>
    <row r="1" spans="1:25">
      <c r="A1" t="s">
        <v>180</v>
      </c>
    </row>
    <row r="5" spans="1:25" ht="16" thickBot="1"/>
    <row r="6" spans="1:25" ht="22" thickBot="1">
      <c r="B6" s="448" t="str">
        <f>'Cost Cap Tool'!AM8</f>
        <v>Direct Costs</v>
      </c>
      <c r="C6" s="449"/>
      <c r="D6" s="449"/>
      <c r="E6" s="449"/>
      <c r="F6" s="450"/>
      <c r="G6" s="448" t="str">
        <f>'Cost Cap Tool'!AR8</f>
        <v>Direct Benefits</v>
      </c>
      <c r="H6" s="449">
        <f>'Cost Cap Tool'!AS8</f>
        <v>0</v>
      </c>
      <c r="I6" s="449">
        <f>'Cost Cap Tool'!AT8</f>
        <v>0</v>
      </c>
      <c r="J6" s="449">
        <f>'Cost Cap Tool'!AU8</f>
        <v>0</v>
      </c>
      <c r="K6" s="449">
        <f>'Cost Cap Tool'!AV8</f>
        <v>0</v>
      </c>
      <c r="L6" s="449">
        <f>'Cost Cap Tool'!AW8</f>
        <v>0</v>
      </c>
      <c r="M6" s="450">
        <f>'Cost Cap Tool'!AX8</f>
        <v>0</v>
      </c>
      <c r="N6" s="448" t="str">
        <f>'Cost Cap Tool'!AY8</f>
        <v>New Jersey Electric Costs</v>
      </c>
      <c r="O6" s="449">
        <f>'Cost Cap Tool'!AZ8</f>
        <v>0</v>
      </c>
      <c r="P6" s="449">
        <f>'Cost Cap Tool'!BA8</f>
        <v>0</v>
      </c>
      <c r="Q6" s="449">
        <f>'Cost Cap Tool'!BB8</f>
        <v>0</v>
      </c>
      <c r="R6" s="449">
        <f>'Cost Cap Tool'!BC8</f>
        <v>0</v>
      </c>
      <c r="S6" s="449">
        <f>'Cost Cap Tool'!BD8</f>
        <v>0</v>
      </c>
      <c r="T6" s="450">
        <f>'Cost Cap Tool'!BE8</f>
        <v>0</v>
      </c>
      <c r="U6" s="448" t="str">
        <f>'Cost Cap Tool'!BF8</f>
        <v>RPS Cost Cap Calculation</v>
      </c>
      <c r="V6" s="449">
        <f>'Cost Cap Tool'!BG8</f>
        <v>0</v>
      </c>
      <c r="W6" s="449">
        <f>'Cost Cap Tool'!BH8</f>
        <v>0</v>
      </c>
      <c r="X6" s="449">
        <f>'Cost Cap Tool'!BI8</f>
        <v>0</v>
      </c>
      <c r="Y6" s="450">
        <f>'Cost Cap Tool'!BJ8</f>
        <v>0</v>
      </c>
    </row>
    <row r="7" spans="1:25" ht="81" thickBot="1">
      <c r="A7" s="297" t="str">
        <f>'Cost Cap Tool'!AL9</f>
        <v>Energy Year</v>
      </c>
      <c r="B7" s="292" t="str">
        <f>'Cost Cap Tool'!AM9</f>
        <v>Class I RECs</v>
      </c>
      <c r="C7" s="293" t="str">
        <f>'Cost Cap Tool'!AN9</f>
        <v>SRECs</v>
      </c>
      <c r="D7" s="293" t="str">
        <f>'Cost Cap Tool'!AO9</f>
        <v>TRECs</v>
      </c>
      <c r="E7" s="293" t="str">
        <f>'Cost Cap Tool'!AP9</f>
        <v>Successor Solar RECs</v>
      </c>
      <c r="F7" s="310" t="str">
        <f>'Cost Cap Tool'!AQ9</f>
        <v>Total RPS Costs</v>
      </c>
      <c r="G7" s="302" t="str">
        <f>'Cost Cap Tool'!AR9</f>
        <v>Solar DRIPE - Energy &amp; Capacity</v>
      </c>
      <c r="H7" s="303" t="str">
        <f>'Cost Cap Tool'!AS9</f>
        <v>In-State Class I DRIPE Energy &amp; Capacity</v>
      </c>
      <c r="I7" s="303" t="str">
        <f>'Cost Cap Tool'!AT9</f>
        <v>Out-of-State Class I DRIPE Energy &amp; Capacity</v>
      </c>
      <c r="J7" s="303" t="str">
        <f>'Cost Cap Tool'!AU9</f>
        <v>Price Volatility Hedge Value</v>
      </c>
      <c r="K7" s="303" t="str">
        <f>'Cost Cap Tool'!AV9</f>
        <v xml:space="preserve">Solar BTM Savings </v>
      </c>
      <c r="L7" s="303">
        <f>'Cost Cap Tool'!AW9</f>
        <v>0</v>
      </c>
      <c r="M7" s="313" t="str">
        <f>'Cost Cap Tool'!AX9</f>
        <v>TotaI RPS Benefits</v>
      </c>
      <c r="N7" s="12" t="str">
        <f>'Cost Cap Tool'!AY9</f>
        <v>Metered Retail Electricity (EIA 861M)</v>
      </c>
      <c r="O7" s="12" t="str">
        <f>'Cost Cap Tool'!AZ9</f>
        <v>Additional Solar PPA</v>
      </c>
      <c r="P7" s="12" t="str">
        <f>'Cost Cap Tool'!BA9</f>
        <v>Solar Host-Owned Systems</v>
      </c>
      <c r="Q7" s="12" t="str">
        <f>'Cost Cap Tool'!BB9</f>
        <v>DG Cogen PPA</v>
      </c>
      <c r="R7" s="12" t="str">
        <f>'Cost Cap Tool'!BC9</f>
        <v>OREC</v>
      </c>
      <c r="S7" s="12" t="str">
        <f>'Cost Cap Tool'!BD9</f>
        <v>Successor Program Cost</v>
      </c>
      <c r="T7" s="313" t="str">
        <f>'Cost Cap Tool'!BE9</f>
        <v>Total Electric Costs</v>
      </c>
      <c r="U7" s="302" t="str">
        <f>'Cost Cap Tool'!BF9</f>
        <v>RPS Cost Cap %</v>
      </c>
      <c r="V7" s="303" t="str">
        <f>'Cost Cap Tool'!BG9</f>
        <v>RPS Cost Cap</v>
      </c>
      <c r="W7" s="303" t="str">
        <f>'Cost Cap Tool'!BH9</f>
        <v>Net RPS Costs</v>
      </c>
      <c r="X7" s="324" t="str">
        <f>'Cost Cap Tool'!BI9</f>
        <v>Annual Cost Cap Surplus</v>
      </c>
      <c r="Y7" s="325" t="str">
        <f>'Cost Cap Tool'!BJ9</f>
        <v>Cummulative Surplus</v>
      </c>
    </row>
    <row r="8" spans="1:25">
      <c r="A8" s="287">
        <f>'Cost Cap Tool'!AL10</f>
        <v>2019</v>
      </c>
      <c r="B8" s="5">
        <f>'Cost Cap Tool'!AM10</f>
        <v>79254.418999999994</v>
      </c>
      <c r="C8" s="10">
        <f>'Cost Cap Tool'!AN10</f>
        <v>597042.51804</v>
      </c>
      <c r="D8" s="10">
        <f>'Cost Cap Tool'!AO10</f>
        <v>0</v>
      </c>
      <c r="E8" s="10">
        <f>'Cost Cap Tool'!AP10</f>
        <v>0</v>
      </c>
      <c r="F8" s="311">
        <f>'Cost Cap Tool'!AQ10</f>
        <v>676296.93703999999</v>
      </c>
      <c r="G8" s="308">
        <f>'Cost Cap Tool'!AR10</f>
        <v>105952.07505763778</v>
      </c>
      <c r="H8" s="309">
        <f>'Cost Cap Tool'!AS10</f>
        <v>10270.22661070765</v>
      </c>
      <c r="I8" s="309">
        <f>'Cost Cap Tool'!AT10</f>
        <v>55117.141928980309</v>
      </c>
      <c r="J8" s="309">
        <f>'Cost Cap Tool'!AU10</f>
        <v>18270.702055873655</v>
      </c>
      <c r="K8" s="309">
        <f>'Cost Cap Tool'!AV10</f>
        <v>105996.75287350571</v>
      </c>
      <c r="L8" s="309">
        <f>'Cost Cap Tool'!AW10</f>
        <v>0</v>
      </c>
      <c r="M8" s="314">
        <f>'Cost Cap Tool'!AX10</f>
        <v>295606.8985267051</v>
      </c>
      <c r="N8" s="304">
        <f>'Cost Cap Tool'!AY10</f>
        <v>10010000</v>
      </c>
      <c r="O8" s="305">
        <f>'Cost Cap Tool'!AZ10</f>
        <v>153341.96915700496</v>
      </c>
      <c r="P8" s="305">
        <f>'Cost Cap Tool'!BA10</f>
        <v>187000</v>
      </c>
      <c r="Q8" s="305">
        <f>'Cost Cap Tool'!BB10</f>
        <v>134593.16399999999</v>
      </c>
      <c r="R8" s="305">
        <f>'Cost Cap Tool'!BC10</f>
        <v>0</v>
      </c>
      <c r="S8" s="305">
        <f>'Cost Cap Tool'!BD10</f>
        <v>0</v>
      </c>
      <c r="T8" s="314">
        <f>'Cost Cap Tool'!BE10</f>
        <v>10484935.133157006</v>
      </c>
      <c r="U8" s="319">
        <f>'Cost Cap Tool'!BF10</f>
        <v>0.09</v>
      </c>
      <c r="V8" s="17">
        <f>'Cost Cap Tool'!BG10</f>
        <v>943644.16198413051</v>
      </c>
      <c r="W8" s="17">
        <f>'Cost Cap Tool'!BH10</f>
        <v>380690.03851329489</v>
      </c>
      <c r="X8" s="320">
        <f>'Cost Cap Tool'!BI10</f>
        <v>562954.12347083562</v>
      </c>
      <c r="Y8" s="321">
        <f>'Cost Cap Tool'!BJ10</f>
        <v>562954.12347083562</v>
      </c>
    </row>
    <row r="9" spans="1:25">
      <c r="A9" s="287">
        <f>'Cost Cap Tool'!AL11</f>
        <v>2020</v>
      </c>
      <c r="B9" s="5">
        <f>'Cost Cap Tool'!AM11</f>
        <v>89997.891000000003</v>
      </c>
      <c r="C9" s="10">
        <f>'Cost Cap Tool'!AN11</f>
        <v>718645.17879000003</v>
      </c>
      <c r="D9" s="10">
        <f>'Cost Cap Tool'!AO11</f>
        <v>350.51799999999997</v>
      </c>
      <c r="E9" s="10">
        <f>'Cost Cap Tool'!AP11</f>
        <v>0</v>
      </c>
      <c r="F9" s="311">
        <f>'Cost Cap Tool'!AQ11</f>
        <v>808993.58779000014</v>
      </c>
      <c r="G9" s="5">
        <f>'Cost Cap Tool'!AR11</f>
        <v>125932.40356619842</v>
      </c>
      <c r="H9" s="10">
        <f>'Cost Cap Tool'!AS11</f>
        <v>10311.532963120699</v>
      </c>
      <c r="I9" s="10">
        <f>'Cost Cap Tool'!AT11</f>
        <v>53432.360187958744</v>
      </c>
      <c r="J9" s="10">
        <f>'Cost Cap Tool'!AU11</f>
        <v>17591.64099342691</v>
      </c>
      <c r="K9" s="10">
        <f>'Cost Cap Tool'!AV11</f>
        <v>125259.80381185561</v>
      </c>
      <c r="L9" s="10">
        <f>'Cost Cap Tool'!AW11</f>
        <v>0</v>
      </c>
      <c r="M9" s="314">
        <f>'Cost Cap Tool'!AX11</f>
        <v>332527.74152256036</v>
      </c>
      <c r="N9" s="316">
        <f>'Cost Cap Tool'!AY11</f>
        <v>9837000</v>
      </c>
      <c r="O9" s="17">
        <f>'Cost Cap Tool'!AZ11</f>
        <v>181209.18284781775</v>
      </c>
      <c r="P9" s="17">
        <f>'Cost Cap Tool'!BA11</f>
        <v>206500</v>
      </c>
      <c r="Q9" s="17">
        <f>'Cost Cap Tool'!BB11</f>
        <v>137285.02728000001</v>
      </c>
      <c r="R9" s="17">
        <f>'Cost Cap Tool'!BC11</f>
        <v>0</v>
      </c>
      <c r="S9" s="17">
        <f>'Cost Cap Tool'!BD11</f>
        <v>0</v>
      </c>
      <c r="T9" s="314">
        <f>'Cost Cap Tool'!BE11</f>
        <v>10361994.210127817</v>
      </c>
      <c r="U9" s="319">
        <f>'Cost Cap Tool'!BF11</f>
        <v>0.09</v>
      </c>
      <c r="V9" s="17">
        <f>'Cost Cap Tool'!BG11</f>
        <v>932579.47891150357</v>
      </c>
      <c r="W9" s="17">
        <f>'Cost Cap Tool'!BH11</f>
        <v>476465.84626743977</v>
      </c>
      <c r="X9" s="320">
        <f>'Cost Cap Tool'!BI11</f>
        <v>456113.63264406379</v>
      </c>
      <c r="Y9" s="321">
        <f>'Cost Cap Tool'!BJ11</f>
        <v>1019067.7561148994</v>
      </c>
    </row>
    <row r="10" spans="1:25">
      <c r="A10" s="287">
        <f>'Cost Cap Tool'!AL12</f>
        <v>2021</v>
      </c>
      <c r="B10" s="5">
        <f>'Cost Cap Tool'!AM12</f>
        <v>121089.60000000001</v>
      </c>
      <c r="C10" s="10">
        <f>'Cost Cap Tool'!AN12</f>
        <v>774637.06935634185</v>
      </c>
      <c r="D10" s="10">
        <f>'Cost Cap Tool'!AO12</f>
        <v>18666.286</v>
      </c>
      <c r="E10" s="10">
        <f>'Cost Cap Tool'!AP12</f>
        <v>0</v>
      </c>
      <c r="F10" s="311">
        <f>'Cost Cap Tool'!AQ12</f>
        <v>914392.95535634179</v>
      </c>
      <c r="G10" s="5">
        <f>'Cost Cap Tool'!AR12</f>
        <v>133571.9405414369</v>
      </c>
      <c r="H10" s="10">
        <f>'Cost Cap Tool'!AS12</f>
        <v>10020.502159922409</v>
      </c>
      <c r="I10" s="10">
        <f>'Cost Cap Tool'!AT12</f>
        <v>86682.98017249527</v>
      </c>
      <c r="J10" s="10">
        <f>'Cost Cap Tool'!AU12</f>
        <v>21143.854034164164</v>
      </c>
      <c r="K10" s="10">
        <f>'Cost Cap Tool'!AV12</f>
        <v>136109.771562988</v>
      </c>
      <c r="L10" s="10">
        <f>'Cost Cap Tool'!AW12</f>
        <v>0</v>
      </c>
      <c r="M10" s="314">
        <f>'Cost Cap Tool'!AX12</f>
        <v>387529.04847100674</v>
      </c>
      <c r="N10" s="316">
        <f>'Cost Cap Tool'!AY12</f>
        <v>9955466.0350765251</v>
      </c>
      <c r="O10" s="17">
        <f>'Cost Cap Tool'!AZ12</f>
        <v>196905.4695277893</v>
      </c>
      <c r="P10" s="17">
        <f>'Cost Cap Tool'!BA12</f>
        <v>196750</v>
      </c>
      <c r="Q10" s="17">
        <f>'Cost Cap Tool'!BB12</f>
        <v>140030.72782559998</v>
      </c>
      <c r="R10" s="17">
        <f>'Cost Cap Tool'!BC12</f>
        <v>0</v>
      </c>
      <c r="S10" s="17">
        <f>'Cost Cap Tool'!BD12</f>
        <v>0</v>
      </c>
      <c r="T10" s="314">
        <f>'Cost Cap Tool'!BE12</f>
        <v>10489152.232429914</v>
      </c>
      <c r="U10" s="319">
        <f>'Cost Cap Tool'!BF12</f>
        <v>0.09</v>
      </c>
      <c r="V10" s="17">
        <f>'Cost Cap Tool'!BG12</f>
        <v>944023.70091869228</v>
      </c>
      <c r="W10" s="17">
        <f>'Cost Cap Tool'!BH12</f>
        <v>526863.90688533499</v>
      </c>
      <c r="X10" s="320">
        <f>'Cost Cap Tool'!BI12</f>
        <v>417159.79403335729</v>
      </c>
      <c r="Y10" s="321">
        <f>'Cost Cap Tool'!BJ12</f>
        <v>1436227.5501482566</v>
      </c>
    </row>
    <row r="11" spans="1:25">
      <c r="A11" s="287">
        <f>'Cost Cap Tool'!AL13</f>
        <v>2022</v>
      </c>
      <c r="B11" s="5">
        <f>'Cost Cap Tool'!AM13</f>
        <v>117499.242</v>
      </c>
      <c r="C11" s="10">
        <f>'Cost Cap Tool'!AN13</f>
        <v>747118.71217477182</v>
      </c>
      <c r="D11" s="10">
        <f>'Cost Cap Tool'!AO13</f>
        <v>65697.307000000001</v>
      </c>
      <c r="E11" s="10">
        <f>'Cost Cap Tool'!AP13</f>
        <v>0</v>
      </c>
      <c r="F11" s="311">
        <f>'Cost Cap Tool'!AQ13</f>
        <v>930315.26117477182</v>
      </c>
      <c r="G11" s="5">
        <f>'Cost Cap Tool'!AR13</f>
        <v>154764.16354742562</v>
      </c>
      <c r="H11" s="10">
        <f>'Cost Cap Tool'!AS13</f>
        <v>10222.959823272933</v>
      </c>
      <c r="I11" s="10">
        <f>'Cost Cap Tool'!AT13</f>
        <v>83705.719629149753</v>
      </c>
      <c r="J11" s="10">
        <f>'Cost Cap Tool'!AU13</f>
        <v>21476.520932901771</v>
      </c>
      <c r="K11" s="10">
        <f>'Cost Cap Tool'!AV13</f>
        <v>179553.64989427509</v>
      </c>
      <c r="L11" s="10">
        <f>'Cost Cap Tool'!AW13</f>
        <v>0</v>
      </c>
      <c r="M11" s="314">
        <f>'Cost Cap Tool'!AX13</f>
        <v>449723.01382702519</v>
      </c>
      <c r="N11" s="316">
        <f>'Cost Cap Tool'!AY13</f>
        <v>10289952.849080948</v>
      </c>
      <c r="O11" s="17">
        <f>'Cost Cap Tool'!AZ13</f>
        <v>220611.82548036383</v>
      </c>
      <c r="P11" s="17">
        <f>'Cost Cap Tool'!BA13</f>
        <v>208000</v>
      </c>
      <c r="Q11" s="17">
        <f>'Cost Cap Tool'!BB13</f>
        <v>142831.34238211196</v>
      </c>
      <c r="R11" s="17">
        <f>'Cost Cap Tool'!BC13</f>
        <v>0</v>
      </c>
      <c r="S11" s="17">
        <f>'Cost Cap Tool'!BD13</f>
        <v>0</v>
      </c>
      <c r="T11" s="314">
        <f>'Cost Cap Tool'!BE13</f>
        <v>10861396.016943425</v>
      </c>
      <c r="U11" s="319">
        <f>'Cost Cap Tool'!BF13</f>
        <v>7.0000000000000007E-2</v>
      </c>
      <c r="V11" s="17">
        <f>'Cost Cap Tool'!BG13</f>
        <v>760297.72118603985</v>
      </c>
      <c r="W11" s="17">
        <f>'Cost Cap Tool'!BH13</f>
        <v>480592.24734774663</v>
      </c>
      <c r="X11" s="320">
        <f>'Cost Cap Tool'!BI13</f>
        <v>279705.47383829323</v>
      </c>
      <c r="Y11" s="321">
        <f>'Cost Cap Tool'!BJ13</f>
        <v>1715933.0239865498</v>
      </c>
    </row>
    <row r="12" spans="1:25">
      <c r="A12" s="287">
        <f>'Cost Cap Tool'!AL14</f>
        <v>2023</v>
      </c>
      <c r="B12" s="5">
        <f>'Cost Cap Tool'!AM14</f>
        <v>137534.56400000001</v>
      </c>
      <c r="C12" s="10">
        <f>'Cost Cap Tool'!AN14</f>
        <v>719305.80549465225</v>
      </c>
      <c r="D12" s="10">
        <f>'Cost Cap Tool'!AO14</f>
        <v>110784.889</v>
      </c>
      <c r="E12" s="10">
        <f>'Cost Cap Tool'!AP14</f>
        <v>62685.279999999999</v>
      </c>
      <c r="F12" s="311">
        <f>'Cost Cap Tool'!AQ14</f>
        <v>1030310.5384946523</v>
      </c>
      <c r="G12" s="5">
        <f>'Cost Cap Tool'!AR14</f>
        <v>181783.79386933282</v>
      </c>
      <c r="H12" s="10">
        <f>'Cost Cap Tool'!AS14</f>
        <v>10154.785976508174</v>
      </c>
      <c r="I12" s="10">
        <f>'Cost Cap Tool'!AT14</f>
        <v>79693.650464928825</v>
      </c>
      <c r="J12" s="10">
        <f>'Cost Cap Tool'!AU14</f>
        <v>24181.259824226276</v>
      </c>
      <c r="K12" s="10">
        <f>'Cost Cap Tool'!AV14</f>
        <v>220541.17320207754</v>
      </c>
      <c r="L12" s="10">
        <f>'Cost Cap Tool'!AW14</f>
        <v>0</v>
      </c>
      <c r="M12" s="314">
        <f>'Cost Cap Tool'!AX14</f>
        <v>516354.66333707364</v>
      </c>
      <c r="N12" s="316">
        <f>'Cost Cap Tool'!AY14</f>
        <v>10574524.892416652</v>
      </c>
      <c r="O12" s="17">
        <f>'Cost Cap Tool'!AZ14</f>
        <v>235725.1491038409</v>
      </c>
      <c r="P12" s="17">
        <f>'Cost Cap Tool'!BA14</f>
        <v>240800</v>
      </c>
      <c r="Q12" s="17">
        <f>'Cost Cap Tool'!BB14</f>
        <v>145687.96922975424</v>
      </c>
      <c r="R12" s="17">
        <f>'Cost Cap Tool'!BC14</f>
        <v>0</v>
      </c>
      <c r="S12" s="17">
        <f>'Cost Cap Tool'!BD14</f>
        <v>66861.686779999989</v>
      </c>
      <c r="T12" s="314">
        <f>'Cost Cap Tool'!BE14</f>
        <v>11263599.697530247</v>
      </c>
      <c r="U12" s="319">
        <f>'Cost Cap Tool'!BF14</f>
        <v>7.0000000000000007E-2</v>
      </c>
      <c r="V12" s="17">
        <f>'Cost Cap Tool'!BG14</f>
        <v>788451.97882711736</v>
      </c>
      <c r="W12" s="17">
        <f>'Cost Cap Tool'!BH14</f>
        <v>513955.87515757862</v>
      </c>
      <c r="X12" s="320">
        <f>'Cost Cap Tool'!BI14</f>
        <v>274496.10366953874</v>
      </c>
      <c r="Y12" s="321">
        <f>'Cost Cap Tool'!BJ14</f>
        <v>1990429.1276560887</v>
      </c>
    </row>
    <row r="13" spans="1:25">
      <c r="A13" s="287">
        <f>'Cost Cap Tool'!AL15</f>
        <v>2024</v>
      </c>
      <c r="B13" s="5">
        <f>'Cost Cap Tool'!AM15</f>
        <v>180748.8818</v>
      </c>
      <c r="C13" s="10">
        <f>'Cost Cap Tool'!AN15</f>
        <v>664090.36269051814</v>
      </c>
      <c r="D13" s="10">
        <f>'Cost Cap Tool'!AO15</f>
        <v>124757.38</v>
      </c>
      <c r="E13" s="10">
        <f>'Cost Cap Tool'!AP15</f>
        <v>135778.94759999998</v>
      </c>
      <c r="F13" s="311">
        <f>'Cost Cap Tool'!AQ15</f>
        <v>1105375.5720905182</v>
      </c>
      <c r="G13" s="5">
        <f>'Cost Cap Tool'!AR15</f>
        <v>205758.2867544117</v>
      </c>
      <c r="H13" s="10">
        <f>'Cost Cap Tool'!AS15</f>
        <v>10534.972632058598</v>
      </c>
      <c r="I13" s="10">
        <f>'Cost Cap Tool'!AT15</f>
        <v>101289.09852972385</v>
      </c>
      <c r="J13" s="10">
        <f>'Cost Cap Tool'!AU15</f>
        <v>26977.402234009081</v>
      </c>
      <c r="K13" s="10">
        <f>'Cost Cap Tool'!AV15</f>
        <v>260344.31035889292</v>
      </c>
      <c r="L13" s="10">
        <f>'Cost Cap Tool'!AW15</f>
        <v>0</v>
      </c>
      <c r="M13" s="314">
        <f>'Cost Cap Tool'!AX15</f>
        <v>604904.07050909614</v>
      </c>
      <c r="N13" s="316">
        <f>'Cost Cap Tool'!AY15</f>
        <v>10959816.484422218</v>
      </c>
      <c r="O13" s="17">
        <f>'Cost Cap Tool'!AZ15</f>
        <v>242594.46722205961</v>
      </c>
      <c r="P13" s="17">
        <f>'Cost Cap Tool'!BA15</f>
        <v>286765</v>
      </c>
      <c r="Q13" s="17">
        <f>'Cost Cap Tool'!BB15</f>
        <v>148601.7286143493</v>
      </c>
      <c r="R13" s="17">
        <f>'Cost Cap Tool'!BC15</f>
        <v>79849.296764999992</v>
      </c>
      <c r="S13" s="17">
        <f>'Cost Cap Tool'!BD15</f>
        <v>144825.21998384997</v>
      </c>
      <c r="T13" s="314">
        <f>'Cost Cap Tool'!BE15</f>
        <v>11862452.197007475</v>
      </c>
      <c r="U13" s="319">
        <f>'Cost Cap Tool'!BF15</f>
        <v>7.0000000000000007E-2</v>
      </c>
      <c r="V13" s="17">
        <f>'Cost Cap Tool'!BG15</f>
        <v>830371.65379052341</v>
      </c>
      <c r="W13" s="17">
        <f>'Cost Cap Tool'!BH15</f>
        <v>500471.50158142205</v>
      </c>
      <c r="X13" s="320">
        <f>'Cost Cap Tool'!BI15</f>
        <v>329900.15220910136</v>
      </c>
      <c r="Y13" s="321">
        <f>'Cost Cap Tool'!BJ15</f>
        <v>2320329.2798651899</v>
      </c>
    </row>
    <row r="14" spans="1:25">
      <c r="A14" s="287">
        <f>'Cost Cap Tool'!AL16</f>
        <v>2025</v>
      </c>
      <c r="B14" s="5">
        <f>'Cost Cap Tool'!AM16</f>
        <v>255863.11870165032</v>
      </c>
      <c r="C14" s="10">
        <f>'Cost Cap Tool'!AN16</f>
        <v>623799.81014862796</v>
      </c>
      <c r="D14" s="10">
        <f>'Cost Cap Tool'!AO16</f>
        <v>124133.5931</v>
      </c>
      <c r="E14" s="10">
        <f>'Cost Cap Tool'!AP16</f>
        <v>232518.13636199999</v>
      </c>
      <c r="F14" s="311">
        <f>'Cost Cap Tool'!AQ16</f>
        <v>1236314.6583122781</v>
      </c>
      <c r="G14" s="5">
        <f>'Cost Cap Tool'!AR16</f>
        <v>255173.53229131992</v>
      </c>
      <c r="H14" s="10">
        <f>'Cost Cap Tool'!AS16</f>
        <v>10663.958317395069</v>
      </c>
      <c r="I14" s="10">
        <f>'Cost Cap Tool'!AT16</f>
        <v>138135.72417934</v>
      </c>
      <c r="J14" s="10">
        <f>'Cost Cap Tool'!AU16</f>
        <v>30564.94111009191</v>
      </c>
      <c r="K14" s="10">
        <f>'Cost Cap Tool'!AV16</f>
        <v>304169.22434703197</v>
      </c>
      <c r="L14" s="10">
        <f>'Cost Cap Tool'!AW16</f>
        <v>0</v>
      </c>
      <c r="M14" s="314">
        <f>'Cost Cap Tool'!AX16</f>
        <v>738707.38024517894</v>
      </c>
      <c r="N14" s="316">
        <f>'Cost Cap Tool'!AY16</f>
        <v>11399468.552592412</v>
      </c>
      <c r="O14" s="17">
        <f>'Cost Cap Tool'!AZ16</f>
        <v>249815.41511198282</v>
      </c>
      <c r="P14" s="17">
        <f>'Cost Cap Tool'!BA16</f>
        <v>335260</v>
      </c>
      <c r="Q14" s="17">
        <f>'Cost Cap Tool'!BB16</f>
        <v>151573.76318663632</v>
      </c>
      <c r="R14" s="17">
        <f>'Cost Cap Tool'!BC16</f>
        <v>159698.59352999998</v>
      </c>
      <c r="S14" s="17">
        <f>'Cost Cap Tool'!BD16</f>
        <v>248009.65719711821</v>
      </c>
      <c r="T14" s="314">
        <f>'Cost Cap Tool'!BE16</f>
        <v>12543825.981618147</v>
      </c>
      <c r="U14" s="319">
        <f>'Cost Cap Tool'!BF16</f>
        <v>7.0000000000000007E-2</v>
      </c>
      <c r="V14" s="17">
        <f>'Cost Cap Tool'!BG16</f>
        <v>878067.81871327036</v>
      </c>
      <c r="W14" s="17">
        <f>'Cost Cap Tool'!BH16</f>
        <v>497607.27806709916</v>
      </c>
      <c r="X14" s="320">
        <f>'Cost Cap Tool'!BI16</f>
        <v>380460.5406461712</v>
      </c>
      <c r="Y14" s="321">
        <f>'Cost Cap Tool'!BJ16</f>
        <v>2700789.8205113611</v>
      </c>
    </row>
    <row r="15" spans="1:25">
      <c r="A15" s="287">
        <f>'Cost Cap Tool'!AL17</f>
        <v>2026</v>
      </c>
      <c r="B15" s="5">
        <f>'Cost Cap Tool'!AM17</f>
        <v>270650.24582208024</v>
      </c>
      <c r="C15" s="10">
        <f>'Cost Cap Tool'!AN17</f>
        <v>559479.82671939058</v>
      </c>
      <c r="D15" s="10">
        <f>'Cost Cap Tool'!AO17</f>
        <v>123512.92513449999</v>
      </c>
      <c r="E15" s="10">
        <f>'Cost Cap Tool'!AP17</f>
        <v>321371.26733018993</v>
      </c>
      <c r="F15" s="311">
        <f>'Cost Cap Tool'!AQ17</f>
        <v>1275014.2650061608</v>
      </c>
      <c r="G15" s="5">
        <f>'Cost Cap Tool'!AR17</f>
        <v>288470.79338950251</v>
      </c>
      <c r="H15" s="10">
        <f>'Cost Cap Tool'!AS17</f>
        <v>10634.99669682268</v>
      </c>
      <c r="I15" s="10">
        <f>'Cost Cap Tool'!AT17</f>
        <v>134375.70377468711</v>
      </c>
      <c r="J15" s="10">
        <f>'Cost Cap Tool'!AU17</f>
        <v>33938.856921133854</v>
      </c>
      <c r="K15" s="10">
        <f>'Cost Cap Tool'!AV17</f>
        <v>350431.4622230953</v>
      </c>
      <c r="L15" s="10">
        <f>'Cost Cap Tool'!AW17</f>
        <v>0</v>
      </c>
      <c r="M15" s="314">
        <f>'Cost Cap Tool'!AX17</f>
        <v>817851.81300524145</v>
      </c>
      <c r="N15" s="316">
        <f>'Cost Cap Tool'!AY17</f>
        <v>11801345.428977881</v>
      </c>
      <c r="O15" s="17">
        <f>'Cost Cap Tool'!AZ17</f>
        <v>256049.05072629449</v>
      </c>
      <c r="P15" s="17">
        <f>'Cost Cap Tool'!BA17</f>
        <v>381765</v>
      </c>
      <c r="Q15" s="17">
        <f>'Cost Cap Tool'!BB17</f>
        <v>154605.23845036901</v>
      </c>
      <c r="R15" s="17">
        <f>'Cost Cap Tool'!BC17</f>
        <v>239547.89029499996</v>
      </c>
      <c r="S15" s="17">
        <f>'Cost Cap Tool'!BD17</f>
        <v>342782.62801606383</v>
      </c>
      <c r="T15" s="314">
        <f>'Cost Cap Tool'!BE17</f>
        <v>13176095.236465609</v>
      </c>
      <c r="U15" s="319">
        <f>'Cost Cap Tool'!BF17</f>
        <v>7.0000000000000007E-2</v>
      </c>
      <c r="V15" s="17">
        <f>'Cost Cap Tool'!BG17</f>
        <v>922326.66655259265</v>
      </c>
      <c r="W15" s="17">
        <f>'Cost Cap Tool'!BH17</f>
        <v>457162.45200091938</v>
      </c>
      <c r="X15" s="320">
        <f>'Cost Cap Tool'!BI17</f>
        <v>465164.21455167327</v>
      </c>
      <c r="Y15" s="321">
        <f>'Cost Cap Tool'!BJ17</f>
        <v>3165954.0350630344</v>
      </c>
    </row>
    <row r="16" spans="1:25">
      <c r="A16" s="287">
        <f>'Cost Cap Tool'!AL18</f>
        <v>2027</v>
      </c>
      <c r="B16" s="5">
        <f>'Cost Cap Tool'!AM18</f>
        <v>260271.29058584486</v>
      </c>
      <c r="C16" s="10">
        <f>'Cost Cap Tool'!AN18</f>
        <v>516083.40662466141</v>
      </c>
      <c r="D16" s="10">
        <f>'Cost Cap Tool'!AO18</f>
        <v>122895.36050882749</v>
      </c>
      <c r="E16" s="10">
        <f>'Cost Cap Tool'!AP18</f>
        <v>412320.02894353896</v>
      </c>
      <c r="F16" s="311">
        <f>'Cost Cap Tool'!AQ18</f>
        <v>1311570.0866628727</v>
      </c>
      <c r="G16" s="5">
        <f>'Cost Cap Tool'!AR18</f>
        <v>315414.38770264713</v>
      </c>
      <c r="H16" s="10">
        <f>'Cost Cap Tool'!AS18</f>
        <v>10712.566441827898</v>
      </c>
      <c r="I16" s="10">
        <f>'Cost Cap Tool'!AT18</f>
        <v>118676.99494042344</v>
      </c>
      <c r="J16" s="10">
        <f>'Cost Cap Tool'!AU18</f>
        <v>37262.664596066177</v>
      </c>
      <c r="K16" s="10">
        <f>'Cost Cap Tool'!AV18</f>
        <v>402290.08165285893</v>
      </c>
      <c r="L16" s="10">
        <f>'Cost Cap Tool'!AW18</f>
        <v>0</v>
      </c>
      <c r="M16" s="314">
        <f>'Cost Cap Tool'!AX18</f>
        <v>884356.69533382356</v>
      </c>
      <c r="N16" s="316">
        <f>'Cost Cap Tool'!AY18</f>
        <v>12267947.215073096</v>
      </c>
      <c r="O16" s="17">
        <f>'Cost Cap Tool'!AZ18</f>
        <v>263524.23742935457</v>
      </c>
      <c r="P16" s="17">
        <f>'Cost Cap Tool'!BA18</f>
        <v>423145.00000000006</v>
      </c>
      <c r="Q16" s="17">
        <f>'Cost Cap Tool'!BB18</f>
        <v>157697.34321937637</v>
      </c>
      <c r="R16" s="17">
        <f>'Cost Cap Tool'!BC18</f>
        <v>410653.52621999994</v>
      </c>
      <c r="S16" s="17">
        <f>'Cost Cap Tool'!BD18</f>
        <v>439790.85087190219</v>
      </c>
      <c r="T16" s="314">
        <f>'Cost Cap Tool'!BE18</f>
        <v>13962758.172813728</v>
      </c>
      <c r="U16" s="319">
        <f>'Cost Cap Tool'!BF18</f>
        <v>7.0000000000000007E-2</v>
      </c>
      <c r="V16" s="17">
        <f>'Cost Cap Tool'!BG18</f>
        <v>977393.07209696108</v>
      </c>
      <c r="W16" s="17">
        <f>'Cost Cap Tool'!BH18</f>
        <v>427213.39132904913</v>
      </c>
      <c r="X16" s="320">
        <f>'Cost Cap Tool'!BI18</f>
        <v>550179.68076791195</v>
      </c>
      <c r="Y16" s="321">
        <f>'Cost Cap Tool'!BJ18</f>
        <v>3716133.7158309463</v>
      </c>
    </row>
    <row r="17" spans="1:25">
      <c r="A17" s="287">
        <f>'Cost Cap Tool'!AL19</f>
        <v>2028</v>
      </c>
      <c r="B17" s="5">
        <f>'Cost Cap Tool'!AM19</f>
        <v>255033.2212908293</v>
      </c>
      <c r="C17" s="10">
        <f>'Cost Cap Tool'!AN19</f>
        <v>422211.88638476469</v>
      </c>
      <c r="D17" s="10">
        <f>'Cost Cap Tool'!AO19</f>
        <v>122280.88370628336</v>
      </c>
      <c r="E17" s="10">
        <f>'Cost Cap Tool'!AP19</f>
        <v>505463.77499882126</v>
      </c>
      <c r="F17" s="311">
        <f>'Cost Cap Tool'!AQ19</f>
        <v>1304989.7663806987</v>
      </c>
      <c r="G17" s="5">
        <f>'Cost Cap Tool'!AR19</f>
        <v>347357.05416323815</v>
      </c>
      <c r="H17" s="10">
        <f>'Cost Cap Tool'!AS19</f>
        <v>10799.390612635239</v>
      </c>
      <c r="I17" s="10">
        <f>'Cost Cap Tool'!AT19</f>
        <v>102807.9162974847</v>
      </c>
      <c r="J17" s="10">
        <f>'Cost Cap Tool'!AU19</f>
        <v>41247.245483419043</v>
      </c>
      <c r="K17" s="10">
        <f>'Cost Cap Tool'!AV19</f>
        <v>459419.90799123445</v>
      </c>
      <c r="L17" s="10">
        <f>'Cost Cap Tool'!AW19</f>
        <v>0</v>
      </c>
      <c r="M17" s="314">
        <f>'Cost Cap Tool'!AX19</f>
        <v>961631.51454801159</v>
      </c>
      <c r="N17" s="316">
        <f>'Cost Cap Tool'!AY19</f>
        <v>12769048.331202712</v>
      </c>
      <c r="O17" s="17">
        <f>'Cost Cap Tool'!AZ19</f>
        <v>271559.00976463198</v>
      </c>
      <c r="P17" s="17">
        <f>'Cost Cap Tool'!BA19</f>
        <v>461765.00000000006</v>
      </c>
      <c r="Q17" s="17">
        <f>'Cost Cap Tool'!BB19</f>
        <v>160851.29008376392</v>
      </c>
      <c r="R17" s="17">
        <f>'Cost Cap Tool'!BC19</f>
        <v>581759.16214499983</v>
      </c>
      <c r="S17" s="17">
        <f>'Cost Cap Tool'!BD19</f>
        <v>539140.29900811764</v>
      </c>
      <c r="T17" s="314">
        <f>'Cost Cap Tool'!BE19</f>
        <v>14784123.092204226</v>
      </c>
      <c r="U17" s="319">
        <f>'Cost Cap Tool'!BF19</f>
        <v>7.0000000000000007E-2</v>
      </c>
      <c r="V17" s="17">
        <f>'Cost Cap Tool'!BG19</f>
        <v>1034888.6164542959</v>
      </c>
      <c r="W17" s="17">
        <f>'Cost Cap Tool'!BH19</f>
        <v>343358.25183268706</v>
      </c>
      <c r="X17" s="320">
        <f>'Cost Cap Tool'!BI19</f>
        <v>691530.36462160887</v>
      </c>
      <c r="Y17" s="321">
        <f>'Cost Cap Tool'!BJ19</f>
        <v>4407664.0804525549</v>
      </c>
    </row>
    <row r="18" spans="1:25">
      <c r="A18" s="287">
        <f>'Cost Cap Tool'!AL20</f>
        <v>2029</v>
      </c>
      <c r="B18" s="5">
        <f>'Cost Cap Tool'!AM20</f>
        <v>250811.3434197912</v>
      </c>
      <c r="C18" s="10">
        <f>'Cost Cap Tool'!AN20</f>
        <v>328740.01462238666</v>
      </c>
      <c r="D18" s="10">
        <f>'Cost Cap Tool'!AO20</f>
        <v>121669.47928775194</v>
      </c>
      <c r="E18" s="10">
        <f>'Cost Cap Tool'!AP20</f>
        <v>591104.87188382715</v>
      </c>
      <c r="F18" s="311">
        <f>'Cost Cap Tool'!AQ20</f>
        <v>1292325.709213757</v>
      </c>
      <c r="G18" s="5">
        <f>'Cost Cap Tool'!AR20</f>
        <v>372976.32903443679</v>
      </c>
      <c r="H18" s="10">
        <f>'Cost Cap Tool'!AS20</f>
        <v>10843.197997873354</v>
      </c>
      <c r="I18" s="10">
        <f>'Cost Cap Tool'!AT20</f>
        <v>86311.154283300697</v>
      </c>
      <c r="J18" s="10">
        <f>'Cost Cap Tool'!AU20</f>
        <v>44837.349383662375</v>
      </c>
      <c r="K18" s="10">
        <f>'Cost Cap Tool'!AV20</f>
        <v>520953.79640450893</v>
      </c>
      <c r="L18" s="10">
        <f>'Cost Cap Tool'!AW20</f>
        <v>0</v>
      </c>
      <c r="M18" s="314">
        <f>'Cost Cap Tool'!AX20</f>
        <v>1035921.8271037822</v>
      </c>
      <c r="N18" s="316">
        <f>'Cost Cap Tool'!AY20</f>
        <v>13269700.925297709</v>
      </c>
      <c r="O18" s="17">
        <f>'Cost Cap Tool'!AZ20</f>
        <v>279398.35147656489</v>
      </c>
      <c r="P18" s="17">
        <f>'Cost Cap Tool'!BA20</f>
        <v>495740.00000000006</v>
      </c>
      <c r="Q18" s="17">
        <f>'Cost Cap Tool'!BB20</f>
        <v>164068.31588543919</v>
      </c>
      <c r="R18" s="17">
        <f>'Cost Cap Tool'!BC20</f>
        <v>752864.79806999979</v>
      </c>
      <c r="S18" s="17">
        <f>'Cost Cap Tool'!BD20</f>
        <v>630487.23397308704</v>
      </c>
      <c r="T18" s="314">
        <f>'Cost Cap Tool'!BE20</f>
        <v>15592259.624702802</v>
      </c>
      <c r="U18" s="319">
        <f>'Cost Cap Tool'!BF20</f>
        <v>7.0000000000000007E-2</v>
      </c>
      <c r="V18" s="17">
        <f>'Cost Cap Tool'!BG20</f>
        <v>1091458.1737291962</v>
      </c>
      <c r="W18" s="17">
        <f>'Cost Cap Tool'!BH20</f>
        <v>256403.88210997474</v>
      </c>
      <c r="X18" s="320">
        <f>'Cost Cap Tool'!BI20</f>
        <v>835054.29161922145</v>
      </c>
      <c r="Y18" s="321">
        <f>'Cost Cap Tool'!BJ20</f>
        <v>5242718.3720717765</v>
      </c>
    </row>
    <row r="19" spans="1:25">
      <c r="A19" s="287">
        <f>'Cost Cap Tool'!AL21</f>
        <v>2030</v>
      </c>
      <c r="B19" s="5">
        <f>'Cost Cap Tool'!AM21</f>
        <v>251984.03564428919</v>
      </c>
      <c r="C19" s="10">
        <f>'Cost Cap Tool'!AN21</f>
        <v>223676.48809014692</v>
      </c>
      <c r="D19" s="10">
        <f>'Cost Cap Tool'!AO21</f>
        <v>121061.13189131318</v>
      </c>
      <c r="E19" s="10">
        <f>'Cost Cap Tool'!AP21</f>
        <v>678900.21621940797</v>
      </c>
      <c r="F19" s="311">
        <f>'Cost Cap Tool'!AQ21</f>
        <v>1275621.8718451574</v>
      </c>
      <c r="G19" s="5">
        <f>'Cost Cap Tool'!AR21</f>
        <v>413428.81526191189</v>
      </c>
      <c r="H19" s="10">
        <f>'Cost Cap Tool'!AS21</f>
        <v>10682.401329762642</v>
      </c>
      <c r="I19" s="10">
        <f>'Cost Cap Tool'!AT21</f>
        <v>65538.769791249491</v>
      </c>
      <c r="J19" s="10">
        <f>'Cost Cap Tool'!AU21</f>
        <v>48372.170405038269</v>
      </c>
      <c r="K19" s="10">
        <f>'Cost Cap Tool'!AV21</f>
        <v>583414.74836507987</v>
      </c>
      <c r="L19" s="10">
        <f>'Cost Cap Tool'!AW21</f>
        <v>0</v>
      </c>
      <c r="M19" s="314">
        <f>'Cost Cap Tool'!AX21</f>
        <v>1121436.9051530422</v>
      </c>
      <c r="N19" s="316">
        <f>'Cost Cap Tool'!AY21</f>
        <v>13682761.704233583</v>
      </c>
      <c r="O19" s="17">
        <f>'Cost Cap Tool'!AZ21</f>
        <v>285228.87369892641</v>
      </c>
      <c r="P19" s="17">
        <f>'Cost Cap Tool'!BA21</f>
        <v>528300.00000000012</v>
      </c>
      <c r="Q19" s="17">
        <f>'Cost Cap Tool'!BB21</f>
        <v>167349.68220314797</v>
      </c>
      <c r="R19" s="17">
        <f>'Cost Cap Tool'!BC21</f>
        <v>912563.39159999986</v>
      </c>
      <c r="S19" s="17">
        <f>'Cost Cap Tool'!BD21</f>
        <v>724131.94312502595</v>
      </c>
      <c r="T19" s="314">
        <f>'Cost Cap Tool'!BE21</f>
        <v>16300335.594860682</v>
      </c>
      <c r="U19" s="319">
        <f>'Cost Cap Tool'!BF21</f>
        <v>7.0000000000000007E-2</v>
      </c>
      <c r="V19" s="17">
        <f>'Cost Cap Tool'!BG21</f>
        <v>1141023.4916402479</v>
      </c>
      <c r="W19" s="17">
        <f>'Cost Cap Tool'!BH21</f>
        <v>154184.96669211518</v>
      </c>
      <c r="X19" s="320">
        <f>'Cost Cap Tool'!BI21</f>
        <v>986838.52494813269</v>
      </c>
      <c r="Y19" s="321">
        <f>'Cost Cap Tool'!BJ21</f>
        <v>6229556.8970199097</v>
      </c>
    </row>
    <row r="20" spans="1:25">
      <c r="A20" s="287">
        <f>'Cost Cap Tool'!AL22</f>
        <v>2031</v>
      </c>
      <c r="B20" s="5">
        <f>'Cost Cap Tool'!AM22</f>
        <v>245834.69507544106</v>
      </c>
      <c r="C20" s="10">
        <f>'Cost Cap Tool'!AN22</f>
        <v>150541.36126030979</v>
      </c>
      <c r="D20" s="10">
        <f>'Cost Cap Tool'!AO22</f>
        <v>120455.82623185661</v>
      </c>
      <c r="E20" s="10">
        <f>'Cost Cap Tool'!AP22</f>
        <v>769019.44158831087</v>
      </c>
      <c r="F20" s="311">
        <f>'Cost Cap Tool'!AQ22</f>
        <v>1285851.3241559183</v>
      </c>
      <c r="G20" s="5">
        <f>'Cost Cap Tool'!AR22</f>
        <v>441815.50851766061</v>
      </c>
      <c r="H20" s="10">
        <f>'Cost Cap Tool'!AS22</f>
        <v>10774.996646757079</v>
      </c>
      <c r="I20" s="10">
        <f>'Cost Cap Tool'!AT22</f>
        <v>84885.946790678296</v>
      </c>
      <c r="J20" s="10">
        <f>'Cost Cap Tool'!AU22</f>
        <v>48614.031257063456</v>
      </c>
      <c r="K20" s="10">
        <f>'Cost Cap Tool'!AV22</f>
        <v>643716.98240102699</v>
      </c>
      <c r="L20" s="10">
        <f>'Cost Cap Tool'!AW22</f>
        <v>0</v>
      </c>
      <c r="M20" s="314">
        <f>'Cost Cap Tool'!AX22</f>
        <v>1229807.4656131864</v>
      </c>
      <c r="N20" s="316">
        <f>'Cost Cap Tool'!AY22</f>
        <v>13957033.861078557</v>
      </c>
      <c r="O20" s="17">
        <f>'Cost Cap Tool'!AZ22</f>
        <v>288051.32328194974</v>
      </c>
      <c r="P20" s="17">
        <f>'Cost Cap Tool'!BA22</f>
        <v>598810</v>
      </c>
      <c r="Q20" s="17">
        <f>'Cost Cap Tool'!BB22</f>
        <v>170696.67584721095</v>
      </c>
      <c r="R20" s="17">
        <f>'Cost Cap Tool'!BC22</f>
        <v>1072261.9851299997</v>
      </c>
      <c r="S20" s="17">
        <f>'Cost Cap Tool'!BD22</f>
        <v>820255.36188413203</v>
      </c>
      <c r="T20" s="314">
        <f>'Cost Cap Tool'!BE22</f>
        <v>16907109.207221851</v>
      </c>
      <c r="U20" s="319">
        <f>'Cost Cap Tool'!BF22</f>
        <v>7.0000000000000007E-2</v>
      </c>
      <c r="V20" s="17">
        <f>'Cost Cap Tool'!BG22</f>
        <v>1183497.6445055297</v>
      </c>
      <c r="W20" s="17">
        <f>'Cost Cap Tool'!BH22</f>
        <v>56043.858542731963</v>
      </c>
      <c r="X20" s="320">
        <f>'Cost Cap Tool'!BI22</f>
        <v>1127453.7859627977</v>
      </c>
      <c r="Y20" s="321">
        <f>'Cost Cap Tool'!BJ22</f>
        <v>7357010.6829827074</v>
      </c>
    </row>
    <row r="21" spans="1:25">
      <c r="A21" s="287">
        <f>'Cost Cap Tool'!AL23</f>
        <v>2032</v>
      </c>
      <c r="B21" s="5">
        <f>'Cost Cap Tool'!AM23</f>
        <v>235234.13151589624</v>
      </c>
      <c r="C21" s="10">
        <f>'Cost Cap Tool'!AN23</f>
        <v>125000.05965818212</v>
      </c>
      <c r="D21" s="10">
        <f>'Cost Cap Tool'!AO23</f>
        <v>119853.54710069732</v>
      </c>
      <c r="E21" s="10">
        <f>'Cost Cap Tool'!AP23</f>
        <v>851912.23404436919</v>
      </c>
      <c r="F21" s="311">
        <f>'Cost Cap Tool'!AQ23</f>
        <v>1331999.9723191448</v>
      </c>
      <c r="G21" s="5">
        <f>'Cost Cap Tool'!AR23</f>
        <v>477013.59118701087</v>
      </c>
      <c r="H21" s="10">
        <f>'Cost Cap Tool'!AS23</f>
        <v>11001.271576338977</v>
      </c>
      <c r="I21" s="10">
        <f>'Cost Cap Tool'!AT23</f>
        <v>86668.551673282534</v>
      </c>
      <c r="J21" s="10">
        <f>'Cost Cap Tool'!AU23</f>
        <v>48857.101413348777</v>
      </c>
      <c r="K21" s="10">
        <f>'Cost Cap Tool'!AV23</f>
        <v>716114.40362920251</v>
      </c>
      <c r="L21" s="10">
        <f>'Cost Cap Tool'!AW23</f>
        <v>0</v>
      </c>
      <c r="M21" s="314">
        <f>'Cost Cap Tool'!AX23</f>
        <v>1339654.9194791839</v>
      </c>
      <c r="N21" s="316">
        <f>'Cost Cap Tool'!AY23</f>
        <v>14405947.243142053</v>
      </c>
      <c r="O21" s="17">
        <f>'Cost Cap Tool'!AZ23</f>
        <v>294357.82245002838</v>
      </c>
      <c r="P21" s="17">
        <f>'Cost Cap Tool'!BA23</f>
        <v>674135.00000000012</v>
      </c>
      <c r="Q21" s="17">
        <f>'Cost Cap Tool'!BB23</f>
        <v>174110.60936415519</v>
      </c>
      <c r="R21" s="17">
        <f>'Cost Cap Tool'!BC23</f>
        <v>1231960.5786599999</v>
      </c>
      <c r="S21" s="17">
        <f>'Cost Cap Tool'!BD23</f>
        <v>908670.88663757523</v>
      </c>
      <c r="T21" s="314">
        <f>'Cost Cap Tool'!BE23</f>
        <v>17689182.140253812</v>
      </c>
      <c r="U21" s="319">
        <f>'Cost Cap Tool'!BF23</f>
        <v>7.0000000000000007E-2</v>
      </c>
      <c r="V21" s="17">
        <f>'Cost Cap Tool'!BG23</f>
        <v>1238242.7498177669</v>
      </c>
      <c r="W21" s="17">
        <f>'Cost Cap Tool'!BH23</f>
        <v>-7654.9471600390971</v>
      </c>
      <c r="X21" s="320">
        <f>'Cost Cap Tool'!BI23</f>
        <v>1245897.696977806</v>
      </c>
      <c r="Y21" s="321">
        <f>'Cost Cap Tool'!BJ23</f>
        <v>8602908.3799605127</v>
      </c>
    </row>
    <row r="22" spans="1:25">
      <c r="A22" s="287">
        <f>'Cost Cap Tool'!AL24</f>
        <v>2033</v>
      </c>
      <c r="B22" s="5">
        <f>'Cost Cap Tool'!AM24</f>
        <v>226217.51030583525</v>
      </c>
      <c r="C22" s="10">
        <f>'Cost Cap Tool'!AN24</f>
        <v>91552.838726042464</v>
      </c>
      <c r="D22" s="10">
        <f>'Cost Cap Tool'!AO24</f>
        <v>119254.27936519384</v>
      </c>
      <c r="E22" s="10">
        <f>'Cost Cap Tool'!AP24</f>
        <v>937055.06227664731</v>
      </c>
      <c r="F22" s="311">
        <f>'Cost Cap Tool'!AQ24</f>
        <v>1374079.6906737189</v>
      </c>
      <c r="G22" s="5">
        <f>'Cost Cap Tool'!AR24</f>
        <v>513459.31941388227</v>
      </c>
      <c r="H22" s="10">
        <f>'Cost Cap Tool'!AS24</f>
        <v>11232.298279442095</v>
      </c>
      <c r="I22" s="10">
        <f>'Cost Cap Tool'!AT24</f>
        <v>88488.591258421453</v>
      </c>
      <c r="J22" s="10">
        <f>'Cost Cap Tool'!AU24</f>
        <v>49101.38692041552</v>
      </c>
      <c r="K22" s="10">
        <f>'Cost Cap Tool'!AV24</f>
        <v>797621.39841223101</v>
      </c>
      <c r="L22" s="10">
        <f>'Cost Cap Tool'!AW24</f>
        <v>0</v>
      </c>
      <c r="M22" s="314">
        <f>'Cost Cap Tool'!AX24</f>
        <v>1459902.9942843923</v>
      </c>
      <c r="N22" s="316">
        <f>'Cost Cap Tool'!AY24</f>
        <v>14933711.649957716</v>
      </c>
      <c r="O22" s="17">
        <f>'Cost Cap Tool'!AZ24</f>
        <v>302105.43741037947</v>
      </c>
      <c r="P22" s="17">
        <f>'Cost Cap Tool'!BA24</f>
        <v>753255.00000000012</v>
      </c>
      <c r="Q22" s="17">
        <f>'Cost Cap Tool'!BB24</f>
        <v>177592.82155143828</v>
      </c>
      <c r="R22" s="17">
        <f>'Cost Cap Tool'!BC24</f>
        <v>1391659.1721899996</v>
      </c>
      <c r="S22" s="17">
        <f>'Cost Cap Tool'!BD24</f>
        <v>999486.3558008289</v>
      </c>
      <c r="T22" s="314">
        <f>'Cost Cap Tool'!BE24</f>
        <v>18557810.436910365</v>
      </c>
      <c r="U22" s="319">
        <f>'Cost Cap Tool'!BF24</f>
        <v>7.0000000000000007E-2</v>
      </c>
      <c r="V22" s="17">
        <f>'Cost Cap Tool'!BG24</f>
        <v>1299046.7305837257</v>
      </c>
      <c r="W22" s="17">
        <f>'Cost Cap Tool'!BH24</f>
        <v>-85823.303610673407</v>
      </c>
      <c r="X22" s="320">
        <f>'Cost Cap Tool'!BI24</f>
        <v>1384870.0341943991</v>
      </c>
      <c r="Y22" s="321">
        <f>'Cost Cap Tool'!BJ24</f>
        <v>9987778.4141549114</v>
      </c>
    </row>
    <row r="23" spans="1:25">
      <c r="A23" s="287">
        <f>'Cost Cap Tool'!AL25</f>
        <v>2034</v>
      </c>
      <c r="B23" s="5">
        <f>'Cost Cap Tool'!AM25</f>
        <v>226125.3451923528</v>
      </c>
      <c r="C23" s="10">
        <f>'Cost Cap Tool'!AN25</f>
        <v>0</v>
      </c>
      <c r="D23" s="10">
        <f>'Cost Cap Tool'!AO25</f>
        <v>118658.00796836788</v>
      </c>
      <c r="E23" s="10">
        <f>'Cost Cap Tool'!AP25</f>
        <v>1024599.0404442641</v>
      </c>
      <c r="F23" s="311">
        <f>'Cost Cap Tool'!AQ25</f>
        <v>1369382.3936049847</v>
      </c>
      <c r="G23" s="5">
        <f>'Cost Cap Tool'!AR25</f>
        <v>551232.76080160146</v>
      </c>
      <c r="H23" s="10">
        <f>'Cost Cap Tool'!AS25</f>
        <v>11468.176543310377</v>
      </c>
      <c r="I23" s="10">
        <f>'Cost Cap Tool'!AT25</f>
        <v>90346.851674848294</v>
      </c>
      <c r="J23" s="10">
        <f>'Cost Cap Tool'!AU25</f>
        <v>49346.893855017595</v>
      </c>
      <c r="K23" s="10">
        <f>'Cost Cap Tool'!AV25</f>
        <v>891001.72302595095</v>
      </c>
      <c r="L23" s="10">
        <f>'Cost Cap Tool'!AW25</f>
        <v>0</v>
      </c>
      <c r="M23" s="314">
        <f>'Cost Cap Tool'!AX25</f>
        <v>1593396.4059007289</v>
      </c>
      <c r="N23" s="316">
        <f>'Cost Cap Tool'!AY25</f>
        <v>15568284.084253248</v>
      </c>
      <c r="O23" s="17">
        <f>'Cost Cap Tool'!AZ25</f>
        <v>311808.92885950429</v>
      </c>
      <c r="P23" s="17">
        <f>'Cost Cap Tool'!BA25</f>
        <v>836150.00000000012</v>
      </c>
      <c r="Q23" s="17">
        <f>'Cost Cap Tool'!BB25</f>
        <v>181144.67798246699</v>
      </c>
      <c r="R23" s="17">
        <f>'Cost Cap Tool'!BC25</f>
        <v>1551357.7657199998</v>
      </c>
      <c r="S23" s="17">
        <f>'Cost Cap Tool'!BD25</f>
        <v>1092862.9515138632</v>
      </c>
      <c r="T23" s="314">
        <f>'Cost Cap Tool'!BE25</f>
        <v>19541608.408329081</v>
      </c>
      <c r="U23" s="319">
        <f>'Cost Cap Tool'!BF25</f>
        <v>7.0000000000000007E-2</v>
      </c>
      <c r="V23" s="17">
        <f>'Cost Cap Tool'!BG25</f>
        <v>1367912.5885830359</v>
      </c>
      <c r="W23" s="17">
        <f>'Cost Cap Tool'!BH25</f>
        <v>-224014.01229574415</v>
      </c>
      <c r="X23" s="320">
        <f>'Cost Cap Tool'!BI25</f>
        <v>1591926.60087878</v>
      </c>
      <c r="Y23" s="321">
        <f>'Cost Cap Tool'!BJ25</f>
        <v>11579705.015033692</v>
      </c>
    </row>
    <row r="24" spans="1:25">
      <c r="A24" s="287">
        <f>'Cost Cap Tool'!AL26</f>
        <v>2035</v>
      </c>
      <c r="B24" s="5">
        <f>'Cost Cap Tool'!AM26</f>
        <v>214536.64880452032</v>
      </c>
      <c r="C24" s="10">
        <f>'Cost Cap Tool'!AN26</f>
        <v>0</v>
      </c>
      <c r="D24" s="10">
        <f>'Cost Cap Tool'!AO26</f>
        <v>117737.95449152878</v>
      </c>
      <c r="E24" s="10">
        <f>'Cost Cap Tool'!AP26</f>
        <v>1105186.6860250928</v>
      </c>
      <c r="F24" s="311">
        <f>'Cost Cap Tool'!AQ26</f>
        <v>1437461.289321142</v>
      </c>
      <c r="G24" s="5">
        <f>'Cost Cap Tool'!AR26</f>
        <v>590415.09867015318</v>
      </c>
      <c r="H24" s="10">
        <f>'Cost Cap Tool'!AS26</f>
        <v>11709.008250719893</v>
      </c>
      <c r="I24" s="10">
        <f>'Cost Cap Tool'!AT26</f>
        <v>92244.135560020091</v>
      </c>
      <c r="J24" s="10">
        <f>'Cost Cap Tool'!AU26</f>
        <v>49593.628324292687</v>
      </c>
      <c r="K24" s="10">
        <f>'Cost Cap Tool'!AV26</f>
        <v>977349.38546655292</v>
      </c>
      <c r="L24" s="10">
        <f>'Cost Cap Tool'!AW26</f>
        <v>0</v>
      </c>
      <c r="M24" s="314">
        <f>'Cost Cap Tool'!AX26</f>
        <v>1721311.2562717388</v>
      </c>
      <c r="N24" s="316">
        <f>'Cost Cap Tool'!AY26</f>
        <v>15976230.710380357</v>
      </c>
      <c r="O24" s="17">
        <f>'Cost Cap Tool'!AZ26</f>
        <v>316795.60071342072</v>
      </c>
      <c r="P24" s="17">
        <f>'Cost Cap Tool'!BA26</f>
        <v>921185</v>
      </c>
      <c r="Q24" s="17">
        <f>'Cost Cap Tool'!BB26</f>
        <v>184767.57154211635</v>
      </c>
      <c r="R24" s="17">
        <f>'Cost Cap Tool'!BC26</f>
        <v>1711056.35925</v>
      </c>
      <c r="S24" s="17">
        <f>'Cost Cap Tool'!BD26</f>
        <v>1178819.7489815145</v>
      </c>
      <c r="T24" s="314">
        <f>'Cost Cap Tool'!BE26</f>
        <v>20288854.99086741</v>
      </c>
      <c r="U24" s="319">
        <f>'Cost Cap Tool'!BF26</f>
        <v>7.0000000000000007E-2</v>
      </c>
      <c r="V24" s="17">
        <f>'Cost Cap Tool'!BG26</f>
        <v>1420219.8493607189</v>
      </c>
      <c r="W24" s="17">
        <f>'Cost Cap Tool'!BH26</f>
        <v>-283849.96695059678</v>
      </c>
      <c r="X24" s="320">
        <f>'Cost Cap Tool'!BI26</f>
        <v>1704069.8163113156</v>
      </c>
      <c r="Y24" s="321">
        <f>'Cost Cap Tool'!BJ26</f>
        <v>13283774.831345007</v>
      </c>
    </row>
    <row r="25" spans="1:25">
      <c r="A25" s="287">
        <f>'Cost Cap Tool'!AL27</f>
        <v>2036</v>
      </c>
      <c r="B25" s="5">
        <f>'Cost Cap Tool'!AM27</f>
        <v>245156.7323524167</v>
      </c>
      <c r="C25" s="10">
        <f>'Cost Cap Tool'!AN27</f>
        <v>0</v>
      </c>
      <c r="D25" s="10">
        <f>'Cost Cap Tool'!AO27</f>
        <v>100074.75412924628</v>
      </c>
      <c r="E25" s="10">
        <f>'Cost Cap Tool'!AP27</f>
        <v>1188155.7735215174</v>
      </c>
      <c r="F25" s="311">
        <f>'Cost Cap Tool'!AQ27</f>
        <v>1533387.2600031802</v>
      </c>
      <c r="G25" s="5">
        <f>'Cost Cap Tool'!AR27</f>
        <v>631054.22564852121</v>
      </c>
      <c r="H25" s="10">
        <f>'Cost Cap Tool'!AS27</f>
        <v>11954.89742398501</v>
      </c>
      <c r="I25" s="10">
        <f>'Cost Cap Tool'!AT27</f>
        <v>94181.262406780501</v>
      </c>
      <c r="J25" s="10">
        <f>'Cost Cap Tool'!AU27</f>
        <v>49841.596465914154</v>
      </c>
      <c r="K25" s="10">
        <f>'Cost Cap Tool'!AV27</f>
        <v>1069196.4841446364</v>
      </c>
      <c r="L25" s="10">
        <f>'Cost Cap Tool'!AW27</f>
        <v>0</v>
      </c>
      <c r="M25" s="314">
        <f>'Cost Cap Tool'!AX27</f>
        <v>1856228.4660898373</v>
      </c>
      <c r="N25" s="316">
        <f>'Cost Cap Tool'!AY27</f>
        <v>16386732.949615752</v>
      </c>
      <c r="O25" s="17">
        <f>'Cost Cap Tool'!AZ27</f>
        <v>321702.33539319591</v>
      </c>
      <c r="P25" s="17">
        <f>'Cost Cap Tool'!BA27</f>
        <v>996590</v>
      </c>
      <c r="Q25" s="17">
        <f>'Cost Cap Tool'!BB27</f>
        <v>188462.92297295871</v>
      </c>
      <c r="R25" s="17">
        <f>'Cost Cap Tool'!BC27</f>
        <v>1711056.35925</v>
      </c>
      <c r="S25" s="17">
        <f>'Cost Cap Tool'!BD27</f>
        <v>1267316.6519323883</v>
      </c>
      <c r="T25" s="314">
        <f>'Cost Cap Tool'!BE27</f>
        <v>20871861.219164297</v>
      </c>
      <c r="U25" s="319">
        <f>'Cost Cap Tool'!BF27</f>
        <v>7.0000000000000007E-2</v>
      </c>
      <c r="V25" s="17">
        <f>'Cost Cap Tool'!BG27</f>
        <v>1461030.285341501</v>
      </c>
      <c r="W25" s="17">
        <f>'Cost Cap Tool'!BH27</f>
        <v>-322841.20608665701</v>
      </c>
      <c r="X25" s="320">
        <f>'Cost Cap Tool'!BI27</f>
        <v>1783871.491428158</v>
      </c>
      <c r="Y25" s="321">
        <f>'Cost Cap Tool'!BJ27</f>
        <v>15067646.322773164</v>
      </c>
    </row>
    <row r="26" spans="1:25">
      <c r="A26" s="287">
        <f>'Cost Cap Tool'!AL28</f>
        <v>2037</v>
      </c>
      <c r="B26" s="5">
        <f>'Cost Cap Tool'!AM28</f>
        <v>276065.18791768752</v>
      </c>
      <c r="C26" s="10">
        <f>'Cost Cap Tool'!AN28</f>
        <v>0</v>
      </c>
      <c r="D26" s="10">
        <f>'Cost Cap Tool'!AO28</f>
        <v>55730.64603554162</v>
      </c>
      <c r="E26" s="10">
        <f>'Cost Cap Tool'!AP28</f>
        <v>1273640.5236281601</v>
      </c>
      <c r="F26" s="311">
        <f>'Cost Cap Tool'!AQ28</f>
        <v>1605436.3575813891</v>
      </c>
      <c r="G26" s="5">
        <f>'Cost Cap Tool'!AR28</f>
        <v>673233.24627463694</v>
      </c>
      <c r="H26" s="10">
        <f>'Cost Cap Tool'!AS28</f>
        <v>12205.950269888695</v>
      </c>
      <c r="I26" s="10">
        <f>'Cost Cap Tool'!AT28</f>
        <v>96159.068917322875</v>
      </c>
      <c r="J26" s="10">
        <f>'Cost Cap Tool'!AU28</f>
        <v>50090.804448243725</v>
      </c>
      <c r="K26" s="10">
        <f>'Cost Cap Tool'!AV28</f>
        <v>1153211.4668451124</v>
      </c>
      <c r="L26" s="10">
        <f>'Cost Cap Tool'!AW28</f>
        <v>0</v>
      </c>
      <c r="M26" s="314">
        <f>'Cost Cap Tool'!AX28</f>
        <v>1984900.5367552047</v>
      </c>
      <c r="N26" s="316">
        <f>'Cost Cap Tool'!AY28</f>
        <v>16603502.439504361</v>
      </c>
      <c r="O26" s="17">
        <f>'Cost Cap Tool'!AZ28</f>
        <v>322714.56502175384</v>
      </c>
      <c r="P26" s="17">
        <f>'Cost Cap Tool'!BA28</f>
        <v>1092845</v>
      </c>
      <c r="Q26" s="17">
        <f>'Cost Cap Tool'!BB28</f>
        <v>192232.18143241786</v>
      </c>
      <c r="R26" s="17">
        <f>'Cost Cap Tool'!BC28</f>
        <v>1711056.35925</v>
      </c>
      <c r="S26" s="17">
        <f>'Cost Cap Tool'!BD28</f>
        <v>1358496.8235148862</v>
      </c>
      <c r="T26" s="314">
        <f>'Cost Cap Tool'!BE28</f>
        <v>21280847.368723422</v>
      </c>
      <c r="U26" s="319">
        <f>'Cost Cap Tool'!BF28</f>
        <v>7.0000000000000007E-2</v>
      </c>
      <c r="V26" s="17">
        <f>'Cost Cap Tool'!BG28</f>
        <v>1489659.3158106396</v>
      </c>
      <c r="W26" s="17">
        <f>'Cost Cap Tool'!BH28</f>
        <v>-379464.17917381553</v>
      </c>
      <c r="X26" s="320">
        <f>'Cost Cap Tool'!BI28</f>
        <v>1869123.4949844552</v>
      </c>
      <c r="Y26" s="321">
        <f>'Cost Cap Tool'!BJ28</f>
        <v>16936769.817757618</v>
      </c>
    </row>
    <row r="27" spans="1:25">
      <c r="A27" s="287">
        <f>'Cost Cap Tool'!AL29</f>
        <v>2038</v>
      </c>
      <c r="B27" s="5">
        <f>'Cost Cap Tool'!AM29</f>
        <v>307264.13989919727</v>
      </c>
      <c r="C27" s="10">
        <f>'Cost Cap Tool'!AN29</f>
        <v>0</v>
      </c>
      <c r="D27" s="10">
        <f>'Cost Cap Tool'!AO29</f>
        <v>13419.990853352048</v>
      </c>
      <c r="E27" s="10">
        <f>'Cost Cap Tool'!AP29</f>
        <v>1352336.8758145645</v>
      </c>
      <c r="F27" s="311">
        <f>'Cost Cap Tool'!AQ29</f>
        <v>1673021.0065671138</v>
      </c>
      <c r="G27" s="5">
        <f>'Cost Cap Tool'!AR29</f>
        <v>717036.41151695326</v>
      </c>
      <c r="H27" s="10">
        <f>'Cost Cap Tool'!AS29</f>
        <v>12462.275225556356</v>
      </c>
      <c r="I27" s="10">
        <f>'Cost Cap Tool'!AT29</f>
        <v>98178.409364586652</v>
      </c>
      <c r="J27" s="10">
        <f>'Cost Cap Tool'!AU29</f>
        <v>50341.258470484936</v>
      </c>
      <c r="K27" s="10">
        <f>'Cost Cap Tool'!AV29</f>
        <v>1243236.1651567207</v>
      </c>
      <c r="L27" s="10">
        <f>'Cost Cap Tool'!AW29</f>
        <v>0</v>
      </c>
      <c r="M27" s="314">
        <f>'Cost Cap Tool'!AX29</f>
        <v>2121254.5197343021</v>
      </c>
      <c r="N27" s="316">
        <f>'Cost Cap Tool'!AY29</f>
        <v>16844561.642212514</v>
      </c>
      <c r="O27" s="17">
        <f>'Cost Cap Tool'!AZ29</f>
        <v>324142.21012454637</v>
      </c>
      <c r="P27" s="17">
        <f>'Cost Cap Tool'!BA29</f>
        <v>1193930</v>
      </c>
      <c r="Q27" s="17">
        <f>'Cost Cap Tool'!BB29</f>
        <v>196076.82506106622</v>
      </c>
      <c r="R27" s="17">
        <f>'Cost Cap Tool'!BC29</f>
        <v>1711056.35925</v>
      </c>
      <c r="S27" s="17">
        <f>'Cost Cap Tool'!BD29</f>
        <v>1442436.3201657098</v>
      </c>
      <c r="T27" s="314">
        <f>'Cost Cap Tool'!BE29</f>
        <v>21712203.356813837</v>
      </c>
      <c r="U27" s="319">
        <f>'Cost Cap Tool'!BF29</f>
        <v>7.0000000000000007E-2</v>
      </c>
      <c r="V27" s="17">
        <f>'Cost Cap Tool'!BG29</f>
        <v>1519854.2349769687</v>
      </c>
      <c r="W27" s="17">
        <f>'Cost Cap Tool'!BH29</f>
        <v>-448233.51316718827</v>
      </c>
      <c r="X27" s="320">
        <f>'Cost Cap Tool'!BI29</f>
        <v>1968087.748144157</v>
      </c>
      <c r="Y27" s="321">
        <f>'Cost Cap Tool'!BJ29</f>
        <v>18904857.565901775</v>
      </c>
    </row>
    <row r="28" spans="1:25">
      <c r="A28" s="287">
        <f>'Cost Cap Tool'!AL30</f>
        <v>2039</v>
      </c>
      <c r="B28" s="5">
        <f>'Cost Cap Tool'!AM30</f>
        <v>338755.72669959499</v>
      </c>
      <c r="C28" s="10">
        <f>'Cost Cap Tool'!AN30</f>
        <v>0</v>
      </c>
      <c r="D28" s="10">
        <f>'Cost Cap Tool'!AO30</f>
        <v>327.31394562461412</v>
      </c>
      <c r="E28" s="10">
        <f>'Cost Cap Tool'!AP30</f>
        <v>1433565.4464525464</v>
      </c>
      <c r="F28" s="311">
        <f>'Cost Cap Tool'!AQ30</f>
        <v>1772648.487097766</v>
      </c>
      <c r="G28" s="5">
        <f>'Cost Cap Tool'!AR30</f>
        <v>762549.13004241814</v>
      </c>
      <c r="H28" s="10">
        <f>'Cost Cap Tool'!AS30</f>
        <v>12723.983005293037</v>
      </c>
      <c r="I28" s="10">
        <f>'Cost Cap Tool'!AT30</f>
        <v>100240.15596124297</v>
      </c>
      <c r="J28" s="10">
        <f>'Cost Cap Tool'!AU30</f>
        <v>50592.964762837364</v>
      </c>
      <c r="K28" s="10">
        <f>'Cost Cap Tool'!AV30</f>
        <v>1338815.5451666059</v>
      </c>
      <c r="L28" s="10">
        <f>'Cost Cap Tool'!AW30</f>
        <v>0</v>
      </c>
      <c r="M28" s="314">
        <f>'Cost Cap Tool'!AX30</f>
        <v>2264921.7789383973</v>
      </c>
      <c r="N28" s="316">
        <f>'Cost Cap Tool'!AY30</f>
        <v>17097352.329886094</v>
      </c>
      <c r="O28" s="17">
        <f>'Cost Cap Tool'!AZ30</f>
        <v>325732.99753320031</v>
      </c>
      <c r="P28" s="17">
        <f>'Cost Cap Tool'!BA30</f>
        <v>1300075</v>
      </c>
      <c r="Q28" s="17">
        <f>'Cost Cap Tool'!BB30</f>
        <v>199998.36156228758</v>
      </c>
      <c r="R28" s="17">
        <f>'Cost Cap Tool'!BC30</f>
        <v>1711056.35925</v>
      </c>
      <c r="S28" s="17">
        <f>'Cost Cap Tool'!BD30</f>
        <v>1529076.7443224471</v>
      </c>
      <c r="T28" s="314">
        <f>'Cost Cap Tool'!BE30</f>
        <v>22163291.792554036</v>
      </c>
      <c r="U28" s="319">
        <f>'Cost Cap Tool'!BF30</f>
        <v>7.0000000000000007E-2</v>
      </c>
      <c r="V28" s="17">
        <f>'Cost Cap Tool'!BG30</f>
        <v>1551430.4254787827</v>
      </c>
      <c r="W28" s="17">
        <f>'Cost Cap Tool'!BH30</f>
        <v>-492273.29184063128</v>
      </c>
      <c r="X28" s="320">
        <f>'Cost Cap Tool'!BI30</f>
        <v>2043703.717319414</v>
      </c>
      <c r="Y28" s="321">
        <f>'Cost Cap Tool'!BJ30</f>
        <v>20948561.283221189</v>
      </c>
    </row>
    <row r="29" spans="1:25" ht="16" thickBot="1">
      <c r="A29" s="298">
        <f>'Cost Cap Tool'!AL31</f>
        <v>2040</v>
      </c>
      <c r="B29" s="66">
        <f>'Cost Cap Tool'!AM31</f>
        <v>370542.1008123958</v>
      </c>
      <c r="C29" s="62">
        <f>'Cost Cap Tool'!AN31</f>
        <v>0</v>
      </c>
      <c r="D29" s="62">
        <f>'Cost Cap Tool'!AO31</f>
        <v>0</v>
      </c>
      <c r="E29" s="62">
        <f>'Cost Cap Tool'!AP31</f>
        <v>1517445.0895636284</v>
      </c>
      <c r="F29" s="312">
        <f>'Cost Cap Tool'!AQ31</f>
        <v>1887987.1903760242</v>
      </c>
      <c r="G29" s="66">
        <f>'Cost Cap Tool'!AR31</f>
        <v>809857.97958044347</v>
      </c>
      <c r="H29" s="62">
        <f>'Cost Cap Tool'!AS31</f>
        <v>12991.186648404191</v>
      </c>
      <c r="I29" s="62">
        <f>'Cost Cap Tool'!AT31</f>
        <v>102345.19923642906</v>
      </c>
      <c r="J29" s="62">
        <f>'Cost Cap Tool'!AU31</f>
        <v>50845.929586651553</v>
      </c>
      <c r="K29" s="62">
        <f>'Cost Cap Tool'!AV31</f>
        <v>1453819.6361736967</v>
      </c>
      <c r="L29" s="62">
        <f>'Cost Cap Tool'!AW31</f>
        <v>0</v>
      </c>
      <c r="M29" s="315">
        <f>'Cost Cap Tool'!AX31</f>
        <v>2429859.9312256249</v>
      </c>
      <c r="N29" s="317">
        <f>'Cost Cap Tool'!AY31</f>
        <v>17524503.041989755</v>
      </c>
      <c r="O29" s="68">
        <f>'Cost Cap Tool'!AZ31</f>
        <v>330548.83022295195</v>
      </c>
      <c r="P29" s="68">
        <f>'Cost Cap Tool'!BA31</f>
        <v>1411510</v>
      </c>
      <c r="Q29" s="68">
        <f>'Cost Cap Tool'!BB31</f>
        <v>203998.32879353329</v>
      </c>
      <c r="R29" s="68">
        <f>'Cost Cap Tool'!BC31</f>
        <v>1711056.35925</v>
      </c>
      <c r="S29" s="68">
        <f>'Cost Cap Tool'!BD31</f>
        <v>1618544.868655805</v>
      </c>
      <c r="T29" s="315">
        <f>'Cost Cap Tool'!BE31</f>
        <v>22800161.428912047</v>
      </c>
      <c r="U29" s="108">
        <f>'Cost Cap Tool'!BF31</f>
        <v>7.0000000000000007E-2</v>
      </c>
      <c r="V29" s="327">
        <f>'Cost Cap Tool'!BG31</f>
        <v>1596011.3000238435</v>
      </c>
      <c r="W29" s="68">
        <f>'Cost Cap Tool'!BH31</f>
        <v>-541872.74084960064</v>
      </c>
      <c r="X29" s="322">
        <f>'Cost Cap Tool'!BI31</f>
        <v>2137884.0408734442</v>
      </c>
      <c r="Y29" s="323">
        <f>'Cost Cap Tool'!BJ31</f>
        <v>23086445.324094635</v>
      </c>
    </row>
    <row r="34" spans="1:27">
      <c r="B34">
        <v>1000</v>
      </c>
    </row>
    <row r="36" spans="1:27" ht="16">
      <c r="A36" s="7"/>
      <c r="B36" s="364" t="s">
        <v>203</v>
      </c>
      <c r="C36" s="365">
        <f>A9</f>
        <v>2020</v>
      </c>
      <c r="D36" s="365">
        <f>A10</f>
        <v>2021</v>
      </c>
      <c r="E36" s="365">
        <f>A11</f>
        <v>2022</v>
      </c>
      <c r="F36" s="365">
        <f>A12</f>
        <v>2023</v>
      </c>
      <c r="G36" s="365">
        <f>A13</f>
        <v>2024</v>
      </c>
      <c r="H36" s="365">
        <f>A14</f>
        <v>2025</v>
      </c>
      <c r="I36" s="365">
        <f>A15</f>
        <v>2026</v>
      </c>
      <c r="J36" s="365">
        <f>A16</f>
        <v>2027</v>
      </c>
      <c r="K36" s="365">
        <f>A17</f>
        <v>2028</v>
      </c>
      <c r="L36" s="365">
        <f>A18</f>
        <v>2029</v>
      </c>
      <c r="M36" s="365">
        <f>A19</f>
        <v>2030</v>
      </c>
      <c r="N36" s="365">
        <f>A20</f>
        <v>2031</v>
      </c>
      <c r="O36" s="365">
        <f>A21</f>
        <v>2032</v>
      </c>
      <c r="P36" s="365">
        <f>A22</f>
        <v>2033</v>
      </c>
      <c r="Q36" s="365">
        <f>A23</f>
        <v>2034</v>
      </c>
      <c r="R36" s="365">
        <f>A24</f>
        <v>2035</v>
      </c>
      <c r="S36" s="365">
        <f>A25</f>
        <v>2036</v>
      </c>
      <c r="T36" s="365">
        <f>A26</f>
        <v>2037</v>
      </c>
      <c r="U36" s="365">
        <f>A27</f>
        <v>2038</v>
      </c>
      <c r="V36" s="365">
        <f>A28</f>
        <v>2039</v>
      </c>
      <c r="W36" s="365">
        <f>A29</f>
        <v>2040</v>
      </c>
    </row>
    <row r="37" spans="1:27" ht="19" customHeight="1">
      <c r="A37" s="447"/>
      <c r="B37" s="329" t="str">
        <f>B7</f>
        <v>Class I RECs</v>
      </c>
      <c r="C37" s="307">
        <f>(B9)/1000</f>
        <v>89.99789100000001</v>
      </c>
      <c r="D37" s="307">
        <f>(B10)/1000</f>
        <v>121.0896</v>
      </c>
      <c r="E37" s="307">
        <f>(B11)/1000</f>
        <v>117.499242</v>
      </c>
      <c r="F37" s="307">
        <f>(B12)/1000</f>
        <v>137.53456400000002</v>
      </c>
      <c r="G37" s="307">
        <f>(B13)/1000</f>
        <v>180.74888179999999</v>
      </c>
      <c r="H37" s="307">
        <f>(B14)/1000</f>
        <v>255.86311870165034</v>
      </c>
      <c r="I37" s="307">
        <f>(B15)/1000</f>
        <v>270.65024582208025</v>
      </c>
      <c r="J37" s="307">
        <f>(B16)/1000</f>
        <v>260.27129058584484</v>
      </c>
      <c r="K37" s="307">
        <f>(B17)/1000</f>
        <v>255.03322129082929</v>
      </c>
      <c r="L37" s="307">
        <f>(B18)/1000</f>
        <v>250.8113434197912</v>
      </c>
      <c r="M37" s="307">
        <f>(B19)/1000</f>
        <v>251.98403564428921</v>
      </c>
      <c r="N37" s="307">
        <f>(B20)/1000</f>
        <v>245.83469507544106</v>
      </c>
      <c r="O37" s="307">
        <f>(B21)/1000</f>
        <v>235.23413151589625</v>
      </c>
      <c r="P37" s="307">
        <f>(B22)/1000</f>
        <v>226.21751030583525</v>
      </c>
      <c r="Q37" s="307">
        <f>(B23)/1000</f>
        <v>226.1253451923528</v>
      </c>
      <c r="R37" s="307">
        <f>(B24)/1000</f>
        <v>214.53664880452033</v>
      </c>
      <c r="S37" s="307">
        <f>(B25)/1000</f>
        <v>245.1567323524167</v>
      </c>
      <c r="T37" s="307">
        <f>(B26)/1000</f>
        <v>276.06518791768752</v>
      </c>
      <c r="U37" s="307">
        <f>(B27)/1000</f>
        <v>307.26413989919729</v>
      </c>
      <c r="V37" s="307">
        <f>(B28)/1000</f>
        <v>338.75572669959502</v>
      </c>
      <c r="W37" s="307">
        <f>(B29)/1000</f>
        <v>370.5421008123958</v>
      </c>
    </row>
    <row r="38" spans="1:27" ht="19" customHeight="1">
      <c r="A38" s="447"/>
      <c r="B38" s="329" t="str">
        <f>C7</f>
        <v>SRECs</v>
      </c>
      <c r="C38" s="307">
        <f>(C9)/1000</f>
        <v>718.64517879000005</v>
      </c>
      <c r="D38" s="307">
        <f>(C10)/1000</f>
        <v>774.63706935634184</v>
      </c>
      <c r="E38" s="307">
        <f>(C11)/1000</f>
        <v>747.11871217477187</v>
      </c>
      <c r="F38" s="307">
        <f>(C12)/1000</f>
        <v>719.30580549465219</v>
      </c>
      <c r="G38" s="307">
        <f>(C13)/1000</f>
        <v>664.09036269051819</v>
      </c>
      <c r="H38" s="307">
        <f>(C14)/1000</f>
        <v>623.79981014862801</v>
      </c>
      <c r="I38" s="307">
        <f>(C15)/1000</f>
        <v>559.47982671939053</v>
      </c>
      <c r="J38" s="307">
        <f>(C16)/1000</f>
        <v>516.08340662466139</v>
      </c>
      <c r="K38" s="307">
        <f>(C17)/1000</f>
        <v>422.21188638476468</v>
      </c>
      <c r="L38" s="307">
        <f>(C18)/1000</f>
        <v>328.74001462238664</v>
      </c>
      <c r="M38" s="307">
        <f>(C19)/1000</f>
        <v>223.6764880901469</v>
      </c>
      <c r="N38" s="307">
        <f>(C20)/1000</f>
        <v>150.5413612603098</v>
      </c>
      <c r="O38" s="307">
        <f>(C21)/1000</f>
        <v>125.00005965818211</v>
      </c>
      <c r="P38" s="307">
        <f>(C22)/1000</f>
        <v>91.552838726042467</v>
      </c>
      <c r="Q38" s="307">
        <f>(C23)/1000</f>
        <v>0</v>
      </c>
      <c r="R38" s="307">
        <f>(C24)/1000</f>
        <v>0</v>
      </c>
      <c r="S38" s="307">
        <f>(C25)/1000</f>
        <v>0</v>
      </c>
      <c r="T38" s="307">
        <f>(C26)/1000</f>
        <v>0</v>
      </c>
      <c r="U38" s="307">
        <f>(C27)/1000</f>
        <v>0</v>
      </c>
      <c r="V38" s="307">
        <f>(C28)/1000</f>
        <v>0</v>
      </c>
      <c r="W38" s="307">
        <f>(C29)/1000</f>
        <v>0</v>
      </c>
    </row>
    <row r="39" spans="1:27" ht="19" customHeight="1">
      <c r="A39" s="447"/>
      <c r="B39" s="329" t="str">
        <f>D7</f>
        <v>TRECs</v>
      </c>
      <c r="C39" s="307">
        <f>(D9)/1000</f>
        <v>0.350518</v>
      </c>
      <c r="D39" s="307">
        <f>(D10)/1000</f>
        <v>18.666285999999999</v>
      </c>
      <c r="E39" s="307">
        <f>(D11)/1000</f>
        <v>65.697306999999995</v>
      </c>
      <c r="F39" s="307">
        <f>(D12)/1000</f>
        <v>110.78488899999999</v>
      </c>
      <c r="G39" s="307">
        <f>(D13)/1000</f>
        <v>124.75738</v>
      </c>
      <c r="H39" s="307">
        <f>(D14)/1000</f>
        <v>124.1335931</v>
      </c>
      <c r="I39" s="307">
        <f>(D15)/1000</f>
        <v>123.51292513449999</v>
      </c>
      <c r="J39" s="307">
        <f>(D16)/1000</f>
        <v>122.89536050882749</v>
      </c>
      <c r="K39" s="307">
        <f>(D17)/1000</f>
        <v>122.28088370628336</v>
      </c>
      <c r="L39" s="307">
        <f>(D18)/1000</f>
        <v>121.66947928775194</v>
      </c>
      <c r="M39" s="307">
        <f>(D19)/1000</f>
        <v>121.06113189131318</v>
      </c>
      <c r="N39" s="307">
        <f>(D20)/1000</f>
        <v>120.45582623185661</v>
      </c>
      <c r="O39" s="307">
        <f>(D21)/1000</f>
        <v>119.85354710069733</v>
      </c>
      <c r="P39" s="307">
        <f>(D22)/1000</f>
        <v>119.25427936519384</v>
      </c>
      <c r="Q39" s="307">
        <f>(D23)/1000</f>
        <v>118.65800796836788</v>
      </c>
      <c r="R39" s="307">
        <f>(D24)/1000</f>
        <v>117.73795449152878</v>
      </c>
      <c r="S39" s="307">
        <f>(D25)/1000</f>
        <v>100.07475412924629</v>
      </c>
      <c r="T39" s="307">
        <f>(D26)/1000</f>
        <v>55.730646035541618</v>
      </c>
      <c r="U39" s="307">
        <f>(D27)/1000</f>
        <v>13.419990853352049</v>
      </c>
      <c r="V39" s="307">
        <f>(D28)/1000</f>
        <v>0.32731394562461413</v>
      </c>
      <c r="W39" s="307">
        <f>(D29)/1000</f>
        <v>0</v>
      </c>
    </row>
    <row r="40" spans="1:27" ht="19" customHeight="1">
      <c r="A40" s="447"/>
      <c r="B40" s="329" t="str">
        <f>E7</f>
        <v>Successor Solar RECs</v>
      </c>
      <c r="C40" s="307">
        <f>(E9)/1000</f>
        <v>0</v>
      </c>
      <c r="D40" s="307">
        <f>(E10)/1000</f>
        <v>0</v>
      </c>
      <c r="E40" s="307">
        <f>(E11)/1000</f>
        <v>0</v>
      </c>
      <c r="F40" s="307">
        <f>(E12)/1000</f>
        <v>62.685279999999999</v>
      </c>
      <c r="G40" s="307">
        <f>(E13)/1000</f>
        <v>135.77894759999998</v>
      </c>
      <c r="H40" s="307">
        <f>(E14)/1000</f>
        <v>232.51813636199998</v>
      </c>
      <c r="I40" s="307">
        <f>(E15)/1000</f>
        <v>321.37126733018994</v>
      </c>
      <c r="J40" s="307">
        <f>(E16)/1000</f>
        <v>412.32002894353894</v>
      </c>
      <c r="K40" s="307">
        <f>(E17)/1000</f>
        <v>505.46377499882124</v>
      </c>
      <c r="L40" s="307">
        <f>(E18)/1000</f>
        <v>591.10487188382717</v>
      </c>
      <c r="M40" s="307">
        <f>(E19)/1000</f>
        <v>678.90021621940798</v>
      </c>
      <c r="N40" s="307">
        <f>(E20)/1000</f>
        <v>769.01944158831088</v>
      </c>
      <c r="O40" s="307">
        <f>(E21)/1000</f>
        <v>851.91223404436914</v>
      </c>
      <c r="P40" s="307">
        <f>(E22)/1000</f>
        <v>937.05506227664728</v>
      </c>
      <c r="Q40" s="307">
        <f>(E23)/1000</f>
        <v>1024.5990404442641</v>
      </c>
      <c r="R40" s="307">
        <f>(E24)/1000</f>
        <v>1105.1866860250927</v>
      </c>
      <c r="S40" s="307">
        <f>(E25)/1000</f>
        <v>1188.1557735215174</v>
      </c>
      <c r="T40" s="307">
        <f>(E26)/1000</f>
        <v>1273.6405236281601</v>
      </c>
      <c r="U40" s="307">
        <f>(E27)/1000</f>
        <v>1352.3368758145646</v>
      </c>
      <c r="V40" s="307">
        <f>(E28)/1000</f>
        <v>1433.5654464525464</v>
      </c>
      <c r="W40" s="307">
        <f>(E29)/1000</f>
        <v>1517.4450895636285</v>
      </c>
    </row>
    <row r="41" spans="1:27" ht="19" customHeight="1">
      <c r="A41" s="447"/>
      <c r="B41" s="332" t="str">
        <f>F7</f>
        <v>Total RPS Costs</v>
      </c>
      <c r="C41" s="363">
        <f>(F9)/1000</f>
        <v>808.99358779000011</v>
      </c>
      <c r="D41" s="363">
        <f>(F10)/1000</f>
        <v>914.39295535634176</v>
      </c>
      <c r="E41" s="363">
        <f>(F11)/1000</f>
        <v>930.31526117477176</v>
      </c>
      <c r="F41" s="363">
        <f>(F12)/1000</f>
        <v>1030.3105384946523</v>
      </c>
      <c r="G41" s="363">
        <f>(F13)/1000</f>
        <v>1105.3755720905183</v>
      </c>
      <c r="H41" s="363">
        <f>(F14)/1000</f>
        <v>1236.3146583122782</v>
      </c>
      <c r="I41" s="363">
        <f>(F15)/1000</f>
        <v>1275.0142650061609</v>
      </c>
      <c r="J41" s="363">
        <f>(F16)/1000</f>
        <v>1311.5700866628727</v>
      </c>
      <c r="K41" s="363">
        <f>(F17)/1000</f>
        <v>1304.9897663806987</v>
      </c>
      <c r="L41" s="363">
        <f>(F18)/1000</f>
        <v>1292.3257092137569</v>
      </c>
      <c r="M41" s="363">
        <f>(F19)/1000</f>
        <v>1275.6218718451573</v>
      </c>
      <c r="N41" s="363">
        <f>(F20)/1000</f>
        <v>1285.8513241559183</v>
      </c>
      <c r="O41" s="363">
        <f>(F21)/1000</f>
        <v>1331.9999723191447</v>
      </c>
      <c r="P41" s="363">
        <f>(F22)/1000</f>
        <v>1374.0796906737189</v>
      </c>
      <c r="Q41" s="363">
        <f>(F23)/1000</f>
        <v>1369.3823936049848</v>
      </c>
      <c r="R41" s="363">
        <f>(F24)/1000</f>
        <v>1437.461289321142</v>
      </c>
      <c r="S41" s="363">
        <f>(F25)/1000</f>
        <v>1533.3872600031802</v>
      </c>
      <c r="T41" s="363">
        <f>(F26)/1000</f>
        <v>1605.4363575813891</v>
      </c>
      <c r="U41" s="363">
        <f>(F27)/1000</f>
        <v>1673.0210065671138</v>
      </c>
      <c r="V41" s="363">
        <f>(F28)/1000</f>
        <v>1772.6484870977661</v>
      </c>
      <c r="W41" s="363">
        <f>(F29)/1000</f>
        <v>1887.9871903760243</v>
      </c>
    </row>
    <row r="42" spans="1:27" ht="19" customHeight="1">
      <c r="A42" s="330"/>
      <c r="B42" s="330"/>
      <c r="C42" s="330"/>
      <c r="D42" s="330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30"/>
      <c r="T42" s="330"/>
      <c r="U42" s="330"/>
      <c r="V42" s="330"/>
      <c r="W42" s="330"/>
      <c r="X42" s="330"/>
      <c r="Y42" s="330"/>
      <c r="Z42" s="330"/>
      <c r="AA42" s="330"/>
    </row>
    <row r="43" spans="1:27" ht="19" customHeight="1">
      <c r="A43" s="330"/>
      <c r="B43" s="328" t="str">
        <f>G7</f>
        <v>Solar DRIPE - Energy &amp; Capacity</v>
      </c>
      <c r="C43" s="307">
        <f>(G9)/1000</f>
        <v>125.93240356619842</v>
      </c>
      <c r="D43" s="307">
        <f>(G10)/1000</f>
        <v>133.5719405414369</v>
      </c>
      <c r="E43" s="307">
        <f>(G11)/1000</f>
        <v>154.76416354742562</v>
      </c>
      <c r="F43" s="307">
        <f>(G12)/1000</f>
        <v>181.78379386933281</v>
      </c>
      <c r="G43" s="307">
        <f>(G13)/1000</f>
        <v>205.7582867544117</v>
      </c>
      <c r="H43" s="307">
        <f>(G14)/1000</f>
        <v>255.17353229131993</v>
      </c>
      <c r="I43" s="307">
        <f>(G15)/1000</f>
        <v>288.47079338950249</v>
      </c>
      <c r="J43" s="307">
        <f>(G16)/1000</f>
        <v>315.4143877026471</v>
      </c>
      <c r="K43" s="307">
        <f>(G17)/1000</f>
        <v>347.35705416323816</v>
      </c>
      <c r="L43" s="307">
        <f>(G18)/1000</f>
        <v>372.97632903443679</v>
      </c>
      <c r="M43" s="307">
        <f>(G19)/1000</f>
        <v>413.42881526191189</v>
      </c>
      <c r="N43" s="307">
        <f>(G20)/1000</f>
        <v>441.81550851766059</v>
      </c>
      <c r="O43" s="307">
        <f>(G21)/1000</f>
        <v>477.01359118701089</v>
      </c>
      <c r="P43" s="307">
        <f>(G22)/1000</f>
        <v>513.45931941388233</v>
      </c>
      <c r="Q43" s="307">
        <f>(G23)/1000</f>
        <v>551.23276080160144</v>
      </c>
      <c r="R43" s="307">
        <f>(G24)/1000</f>
        <v>590.41509867015316</v>
      </c>
      <c r="S43" s="307">
        <f>(G25)/1000</f>
        <v>631.0542256485212</v>
      </c>
      <c r="T43" s="307">
        <f>(G26)/1000</f>
        <v>673.23324627463694</v>
      </c>
      <c r="U43" s="307">
        <f>(G27)/1000</f>
        <v>717.03641151695331</v>
      </c>
      <c r="V43" s="307">
        <f>(G28)/1000</f>
        <v>762.54913004241814</v>
      </c>
      <c r="W43" s="307">
        <f>(G29)/1000</f>
        <v>809.8579795804435</v>
      </c>
    </row>
    <row r="44" spans="1:27" ht="19" customHeight="1">
      <c r="A44" s="330"/>
      <c r="B44" s="328" t="str">
        <f>H7</f>
        <v>In-State Class I DRIPE Energy &amp; Capacity</v>
      </c>
      <c r="C44" s="307">
        <f>(H9)/1000</f>
        <v>10.311532963120699</v>
      </c>
      <c r="D44" s="307">
        <f>(H10)/1000</f>
        <v>10.02050215992241</v>
      </c>
      <c r="E44" s="307">
        <f>(H11)/1000</f>
        <v>10.222959823272934</v>
      </c>
      <c r="F44" s="307">
        <f>(H12)/1000</f>
        <v>10.154785976508174</v>
      </c>
      <c r="G44" s="307">
        <f>(H13)/1000</f>
        <v>10.534972632058597</v>
      </c>
      <c r="H44" s="307">
        <f>(H14)/1000</f>
        <v>10.663958317395069</v>
      </c>
      <c r="I44" s="307">
        <f>(H15)/1000</f>
        <v>10.634996696822681</v>
      </c>
      <c r="J44" s="307">
        <f>(H16)/1000</f>
        <v>10.712566441827898</v>
      </c>
      <c r="K44" s="307">
        <f>(H17)/1000</f>
        <v>10.799390612635239</v>
      </c>
      <c r="L44" s="307">
        <f>(H18)/1000</f>
        <v>10.843197997873354</v>
      </c>
      <c r="M44" s="307">
        <f>(H19)/1000</f>
        <v>10.682401329762643</v>
      </c>
      <c r="N44" s="307">
        <f>(H20)/1000</f>
        <v>10.77499664675708</v>
      </c>
      <c r="O44" s="307">
        <f>(H21)/1000</f>
        <v>11.001271576338977</v>
      </c>
      <c r="P44" s="307">
        <f>(H22)/1000</f>
        <v>11.232298279442094</v>
      </c>
      <c r="Q44" s="307">
        <f>(H23)/1000</f>
        <v>11.468176543310378</v>
      </c>
      <c r="R44" s="307">
        <f>(H24)/1000</f>
        <v>11.709008250719894</v>
      </c>
      <c r="S44" s="307">
        <f>(H25)/1000</f>
        <v>11.95489742398501</v>
      </c>
      <c r="T44" s="307">
        <f>(H26)/1000</f>
        <v>12.205950269888696</v>
      </c>
      <c r="U44" s="307">
        <f>(H27)/1000</f>
        <v>12.462275225556356</v>
      </c>
      <c r="V44" s="307">
        <f>(H28)/1000</f>
        <v>12.723983005293038</v>
      </c>
      <c r="W44" s="307">
        <f>(H29)/1000</f>
        <v>12.991186648404192</v>
      </c>
    </row>
    <row r="45" spans="1:27" ht="19" customHeight="1">
      <c r="A45" s="330"/>
      <c r="B45" s="328" t="str">
        <f>I7</f>
        <v>Out-of-State Class I DRIPE Energy &amp; Capacity</v>
      </c>
      <c r="C45" s="307">
        <f>(I9)/1000</f>
        <v>53.432360187958743</v>
      </c>
      <c r="D45" s="307">
        <f>(I10)/1000</f>
        <v>86.682980172495277</v>
      </c>
      <c r="E45" s="307">
        <f>(I11)/1000</f>
        <v>83.705719629149755</v>
      </c>
      <c r="F45" s="307">
        <f>(I12)/1000</f>
        <v>79.693650464928822</v>
      </c>
      <c r="G45" s="307">
        <f>(I13)/1000</f>
        <v>101.28909852972384</v>
      </c>
      <c r="H45" s="307">
        <f>(I14)/1000</f>
        <v>138.13572417934</v>
      </c>
      <c r="I45" s="307">
        <f>(I15)/1000</f>
        <v>134.37570377468711</v>
      </c>
      <c r="J45" s="307">
        <f>(I16)/1000</f>
        <v>118.67699494042344</v>
      </c>
      <c r="K45" s="307">
        <f>(I17)/1000</f>
        <v>102.8079162974847</v>
      </c>
      <c r="L45" s="307">
        <f>(I18)/1000</f>
        <v>86.311154283300695</v>
      </c>
      <c r="M45" s="307">
        <f>(I19)/1000</f>
        <v>65.538769791249493</v>
      </c>
      <c r="N45" s="307">
        <f>(I20)/1000</f>
        <v>84.88594679067829</v>
      </c>
      <c r="O45" s="307">
        <f>(I21)/1000</f>
        <v>86.668551673282536</v>
      </c>
      <c r="P45" s="307">
        <f>(I22)/1000</f>
        <v>88.488591258421451</v>
      </c>
      <c r="Q45" s="307">
        <f>(I23)/1000</f>
        <v>90.346851674848295</v>
      </c>
      <c r="R45" s="307">
        <f>(I24)/1000</f>
        <v>92.244135560020098</v>
      </c>
      <c r="S45" s="307">
        <f>(I25)/1000</f>
        <v>94.181262406780505</v>
      </c>
      <c r="T45" s="307">
        <f>(I26)/1000</f>
        <v>96.15906891732287</v>
      </c>
      <c r="U45" s="307">
        <f>(I27)/1000</f>
        <v>98.178409364586656</v>
      </c>
      <c r="V45" s="307">
        <f>(I28)/1000</f>
        <v>100.24015596124298</v>
      </c>
      <c r="W45" s="307">
        <f>(I29)/1000</f>
        <v>102.34519923642907</v>
      </c>
    </row>
    <row r="46" spans="1:27" ht="19" customHeight="1">
      <c r="A46" s="330"/>
      <c r="B46" s="328" t="str">
        <f>J7</f>
        <v>Price Volatility Hedge Value</v>
      </c>
      <c r="C46" s="307">
        <f>(J9)/1000</f>
        <v>17.59164099342691</v>
      </c>
      <c r="D46" s="307">
        <f>(J10)/1000</f>
        <v>21.143854034164164</v>
      </c>
      <c r="E46" s="307">
        <f>(J11)/1000</f>
        <v>21.476520932901771</v>
      </c>
      <c r="F46" s="307">
        <f>(J12)/1000</f>
        <v>24.181259824226277</v>
      </c>
      <c r="G46" s="307">
        <f>(J13)/1000</f>
        <v>26.97740223400908</v>
      </c>
      <c r="H46" s="307">
        <f>(J14)/1000</f>
        <v>30.564941110091908</v>
      </c>
      <c r="I46" s="307">
        <f>(J15)/1000</f>
        <v>33.938856921133855</v>
      </c>
      <c r="J46" s="307">
        <f>(J16)/1000</f>
        <v>37.26266459606618</v>
      </c>
      <c r="K46" s="307">
        <f>(J17)/1000</f>
        <v>41.247245483419043</v>
      </c>
      <c r="L46" s="307">
        <f>(J18)/1000</f>
        <v>44.837349383662378</v>
      </c>
      <c r="M46" s="307">
        <f>(J19)/1000</f>
        <v>48.372170405038268</v>
      </c>
      <c r="N46" s="307">
        <f>(J20)/1000</f>
        <v>48.614031257063459</v>
      </c>
      <c r="O46" s="307">
        <f>(J21)/1000</f>
        <v>48.857101413348779</v>
      </c>
      <c r="P46" s="307">
        <f>(J22)/1000</f>
        <v>49.101386920415521</v>
      </c>
      <c r="Q46" s="307">
        <f>(J23)/1000</f>
        <v>49.346893855017598</v>
      </c>
      <c r="R46" s="307">
        <f>(J24)/1000</f>
        <v>49.593628324292688</v>
      </c>
      <c r="S46" s="307">
        <f>(J25)/1000</f>
        <v>49.841596465914151</v>
      </c>
      <c r="T46" s="307">
        <f>(J26)/1000</f>
        <v>50.090804448243723</v>
      </c>
      <c r="U46" s="307">
        <f>(J27)/1000</f>
        <v>50.341258470484938</v>
      </c>
      <c r="V46" s="307">
        <f>(J28)/1000</f>
        <v>50.592964762837362</v>
      </c>
      <c r="W46" s="307">
        <f>(J29)/1000</f>
        <v>50.84592958665155</v>
      </c>
    </row>
    <row r="47" spans="1:27" ht="19" customHeight="1">
      <c r="A47" s="330"/>
      <c r="B47" s="328" t="str">
        <f>K7</f>
        <v xml:space="preserve">Solar BTM Savings </v>
      </c>
      <c r="C47" s="307">
        <f>(K9)/1000</f>
        <v>125.25980381185562</v>
      </c>
      <c r="D47" s="307">
        <f>(K10)/1000</f>
        <v>136.10977156298799</v>
      </c>
      <c r="E47" s="307">
        <f>(K11)/1000</f>
        <v>179.55364989427508</v>
      </c>
      <c r="F47" s="307">
        <f>(K12)/1000</f>
        <v>220.54117320207754</v>
      </c>
      <c r="G47" s="307">
        <f>(K13)/1000</f>
        <v>260.34431035889293</v>
      </c>
      <c r="H47" s="307">
        <f>(K14)/1000</f>
        <v>304.16922434703196</v>
      </c>
      <c r="I47" s="307">
        <f>(K15)/1000</f>
        <v>350.43146222309531</v>
      </c>
      <c r="J47" s="307">
        <f>(K16)/1000</f>
        <v>402.29008165285893</v>
      </c>
      <c r="K47" s="307">
        <f>(K17)/1000</f>
        <v>459.41990799123442</v>
      </c>
      <c r="L47" s="307">
        <f>(K18)/1000</f>
        <v>520.95379640450892</v>
      </c>
      <c r="M47" s="307">
        <f>(K19)/1000</f>
        <v>583.41474836507984</v>
      </c>
      <c r="N47" s="307">
        <f>(K20)/1000</f>
        <v>643.71698240102694</v>
      </c>
      <c r="O47" s="307">
        <f>(K21)/1000</f>
        <v>716.11440362920246</v>
      </c>
      <c r="P47" s="307">
        <f>(K22)/1000</f>
        <v>797.62139841223097</v>
      </c>
      <c r="Q47" s="307">
        <f>(K23)/1000</f>
        <v>891.00172302595092</v>
      </c>
      <c r="R47" s="307">
        <f>(K24)/1000</f>
        <v>977.34938546655292</v>
      </c>
      <c r="S47" s="307">
        <f>(K25)/1000</f>
        <v>1069.1964841446365</v>
      </c>
      <c r="T47" s="307">
        <f>(K26)/1000</f>
        <v>1153.2114668451125</v>
      </c>
      <c r="U47" s="307">
        <f>(K27)/1000</f>
        <v>1243.2361651567207</v>
      </c>
      <c r="V47" s="307">
        <f>(K28)/1000</f>
        <v>1338.8155451666059</v>
      </c>
      <c r="W47" s="307">
        <f>(K29)/1000</f>
        <v>1453.8196361736968</v>
      </c>
    </row>
    <row r="48" spans="1:27" ht="19" customHeight="1">
      <c r="A48" s="330"/>
      <c r="B48" s="331" t="str">
        <f>M7</f>
        <v>TotaI RPS Benefits</v>
      </c>
      <c r="C48" s="362">
        <f>(M9)/1000</f>
        <v>332.52774152256035</v>
      </c>
      <c r="D48" s="362">
        <f>(M10)/1000</f>
        <v>387.52904847100672</v>
      </c>
      <c r="E48" s="362">
        <f>(M11)/1000</f>
        <v>449.72301382702517</v>
      </c>
      <c r="F48" s="362">
        <f>(M12)/1000</f>
        <v>516.35466333707359</v>
      </c>
      <c r="G48" s="362">
        <f>(M13)/1000</f>
        <v>604.90407050909619</v>
      </c>
      <c r="H48" s="362">
        <f>(M14)/1000</f>
        <v>738.70738024517891</v>
      </c>
      <c r="I48" s="362">
        <f>(M15)/1000</f>
        <v>817.85181300524141</v>
      </c>
      <c r="J48" s="362">
        <f>(M16)/1000</f>
        <v>884.35669533382361</v>
      </c>
      <c r="K48" s="362">
        <f>(M17)/1000</f>
        <v>961.63151454801164</v>
      </c>
      <c r="L48" s="362">
        <f>(M18)/1000</f>
        <v>1035.9218271037821</v>
      </c>
      <c r="M48" s="362">
        <f>(M19)/1000</f>
        <v>1121.4369051530421</v>
      </c>
      <c r="N48" s="362">
        <f>(M20)/1000</f>
        <v>1229.8074656131864</v>
      </c>
      <c r="O48" s="362">
        <f>(M21)/1000</f>
        <v>1339.6549194791839</v>
      </c>
      <c r="P48" s="362">
        <f>(M22)/1000</f>
        <v>1459.9029942843924</v>
      </c>
      <c r="Q48" s="362">
        <f>(M23)/1000</f>
        <v>1593.396405900729</v>
      </c>
      <c r="R48" s="362">
        <f>(M24)/1000</f>
        <v>1721.3112562717388</v>
      </c>
      <c r="S48" s="362">
        <f>(M25)/1000</f>
        <v>1856.2284660898372</v>
      </c>
      <c r="T48" s="362">
        <f>(M26)/1000</f>
        <v>1984.9005367552047</v>
      </c>
      <c r="U48" s="362">
        <f>(M27)/1000</f>
        <v>2121.254519734302</v>
      </c>
      <c r="V48" s="362">
        <f>(M28)/1000</f>
        <v>2264.9217789383974</v>
      </c>
      <c r="W48" s="362">
        <f>(M29)/1000</f>
        <v>2429.8599312256247</v>
      </c>
    </row>
    <row r="49" spans="1:23" ht="19" customHeight="1">
      <c r="A49" s="330"/>
      <c r="B49" s="330"/>
      <c r="C49" s="330"/>
      <c r="D49" s="330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30"/>
      <c r="P49" s="330"/>
      <c r="Q49" s="330"/>
      <c r="R49" s="330"/>
      <c r="S49" s="330"/>
      <c r="T49" s="330"/>
      <c r="U49" s="330"/>
      <c r="V49" s="330"/>
      <c r="W49" s="333"/>
    </row>
    <row r="50" spans="1:23" ht="19" customHeight="1">
      <c r="A50" s="330"/>
      <c r="B50" s="328" t="str">
        <f>N7</f>
        <v>Metered Retail Electricity (EIA 861M)</v>
      </c>
      <c r="C50" s="334">
        <f>(N9)/1000</f>
        <v>9837</v>
      </c>
      <c r="D50" s="334">
        <f>(N10)/1000</f>
        <v>9955.4660350765243</v>
      </c>
      <c r="E50" s="334">
        <f>(N11)/1000</f>
        <v>10289.952849080948</v>
      </c>
      <c r="F50" s="334">
        <f>(N12)/1000</f>
        <v>10574.524892416652</v>
      </c>
      <c r="G50" s="334">
        <f>(N13)/1000</f>
        <v>10959.816484422217</v>
      </c>
      <c r="H50" s="334">
        <f>(N14)/1000</f>
        <v>11399.468552592412</v>
      </c>
      <c r="I50" s="334">
        <f>(N15)/1000</f>
        <v>11801.34542897788</v>
      </c>
      <c r="J50" s="334">
        <f>(N16)/1000</f>
        <v>12267.947215073096</v>
      </c>
      <c r="K50" s="334">
        <f>(N17)/1000</f>
        <v>12769.048331202712</v>
      </c>
      <c r="L50" s="334">
        <f>(N18)/1000</f>
        <v>13269.70092529771</v>
      </c>
      <c r="M50" s="334">
        <f>(N19)/1000</f>
        <v>13682.761704233582</v>
      </c>
      <c r="N50" s="334">
        <f>(N20)/1000</f>
        <v>13957.033861078557</v>
      </c>
      <c r="O50" s="334">
        <f>(N21)/1000</f>
        <v>14405.947243142053</v>
      </c>
      <c r="P50" s="334">
        <f>(N22)/1000</f>
        <v>14933.711649957717</v>
      </c>
      <c r="Q50" s="334">
        <f>(N23)/1000</f>
        <v>15568.284084253248</v>
      </c>
      <c r="R50" s="334">
        <f>(N24)/1000</f>
        <v>15976.230710380356</v>
      </c>
      <c r="S50" s="334">
        <f>(N25)/1000</f>
        <v>16386.732949615751</v>
      </c>
      <c r="T50" s="334">
        <f>(N26)/1000</f>
        <v>16603.502439504362</v>
      </c>
      <c r="U50" s="334">
        <f>(N27)/1000</f>
        <v>16844.561642212513</v>
      </c>
      <c r="V50" s="334">
        <f>(N28)/1000</f>
        <v>17097.352329886093</v>
      </c>
      <c r="W50" s="334">
        <f>(N29)/1000</f>
        <v>17524.503041989756</v>
      </c>
    </row>
    <row r="51" spans="1:23" ht="19" customHeight="1">
      <c r="A51" s="330"/>
      <c r="B51" s="328" t="str">
        <f>O7</f>
        <v>Additional Solar PPA</v>
      </c>
      <c r="C51" s="334">
        <f>(O9)/1000</f>
        <v>181.20918284781774</v>
      </c>
      <c r="D51" s="334">
        <f>(O10)/1000</f>
        <v>196.90546952778931</v>
      </c>
      <c r="E51" s="334">
        <f>(O11)/1000</f>
        <v>220.61182548036382</v>
      </c>
      <c r="F51" s="334">
        <f>(O12)/1000</f>
        <v>235.72514910384089</v>
      </c>
      <c r="G51" s="334">
        <f>(O13)/1000</f>
        <v>242.59446722205962</v>
      </c>
      <c r="H51" s="334">
        <f>(O14)/1000</f>
        <v>249.81541511198282</v>
      </c>
      <c r="I51" s="334">
        <f>(O15)/1000</f>
        <v>256.04905072629447</v>
      </c>
      <c r="J51" s="334">
        <f>(O16)/1000</f>
        <v>263.52423742935457</v>
      </c>
      <c r="K51" s="334">
        <f>(O17)/1000</f>
        <v>271.55900976463198</v>
      </c>
      <c r="L51" s="334">
        <f>(O18)/1000</f>
        <v>279.39835147656487</v>
      </c>
      <c r="M51" s="334">
        <f>(O19)/1000</f>
        <v>285.22887369892641</v>
      </c>
      <c r="N51" s="334">
        <f>(O20)/1000</f>
        <v>288.05132328194975</v>
      </c>
      <c r="O51" s="334">
        <f>(O21)/1000</f>
        <v>294.35782245002838</v>
      </c>
      <c r="P51" s="334">
        <f>(O22)/1000</f>
        <v>302.10543741037947</v>
      </c>
      <c r="Q51" s="334">
        <f>(O23)/1000</f>
        <v>311.80892885950431</v>
      </c>
      <c r="R51" s="334">
        <f>(O24)/1000</f>
        <v>316.7956007134207</v>
      </c>
      <c r="S51" s="334">
        <f>(O25)/1000</f>
        <v>321.70233539319594</v>
      </c>
      <c r="T51" s="334">
        <f>(O26)/1000</f>
        <v>322.71456502175386</v>
      </c>
      <c r="U51" s="334">
        <f>(O27)/1000</f>
        <v>324.14221012454635</v>
      </c>
      <c r="V51" s="334">
        <f>(O28)/1000</f>
        <v>325.73299753320032</v>
      </c>
      <c r="W51" s="334">
        <f>(O29)/1000</f>
        <v>330.54883022295195</v>
      </c>
    </row>
    <row r="52" spans="1:23" ht="19" customHeight="1">
      <c r="A52" s="330"/>
      <c r="B52" s="328" t="str">
        <f>P7</f>
        <v>Solar Host-Owned Systems</v>
      </c>
      <c r="C52" s="334">
        <f>(P9)/1000</f>
        <v>206.5</v>
      </c>
      <c r="D52" s="334">
        <f>(P10)/1000</f>
        <v>196.75</v>
      </c>
      <c r="E52" s="334">
        <f>(P11)/1000</f>
        <v>208</v>
      </c>
      <c r="F52" s="334">
        <f>(P12)/1000</f>
        <v>240.8</v>
      </c>
      <c r="G52" s="334">
        <f>(P13)/1000</f>
        <v>286.76499999999999</v>
      </c>
      <c r="H52" s="334">
        <f>(P14)/1000</f>
        <v>335.26</v>
      </c>
      <c r="I52" s="334">
        <f>(P15)/1000</f>
        <v>381.76499999999999</v>
      </c>
      <c r="J52" s="334">
        <f>(P16)/1000</f>
        <v>423.14500000000004</v>
      </c>
      <c r="K52" s="334">
        <f>(P17)/1000</f>
        <v>461.76500000000004</v>
      </c>
      <c r="L52" s="334">
        <f>(P18)/1000</f>
        <v>495.74000000000007</v>
      </c>
      <c r="M52" s="334">
        <f>(P19)/1000</f>
        <v>528.30000000000007</v>
      </c>
      <c r="N52" s="334">
        <f>(P20)/1000</f>
        <v>598.80999999999995</v>
      </c>
      <c r="O52" s="334">
        <f>(P21)/1000</f>
        <v>674.1350000000001</v>
      </c>
      <c r="P52" s="334">
        <f>(P22)/1000</f>
        <v>753.25500000000011</v>
      </c>
      <c r="Q52" s="334">
        <f>(P23)/1000</f>
        <v>836.15000000000009</v>
      </c>
      <c r="R52" s="334">
        <f>(P24)/1000</f>
        <v>921.18499999999995</v>
      </c>
      <c r="S52" s="334">
        <f>(P25)/1000</f>
        <v>996.59</v>
      </c>
      <c r="T52" s="334">
        <f>(P26)/1000</f>
        <v>1092.845</v>
      </c>
      <c r="U52" s="334">
        <f>(P27)/1000</f>
        <v>1193.93</v>
      </c>
      <c r="V52" s="334">
        <f>(P28)/1000</f>
        <v>1300.075</v>
      </c>
      <c r="W52" s="334">
        <f>(P29)/1000</f>
        <v>1411.51</v>
      </c>
    </row>
    <row r="53" spans="1:23" ht="19" customHeight="1">
      <c r="A53" s="330"/>
      <c r="B53" s="328" t="str">
        <f>Q7</f>
        <v>DG Cogen PPA</v>
      </c>
      <c r="C53" s="334">
        <f>(Q9)/1000</f>
        <v>137.28502728000001</v>
      </c>
      <c r="D53" s="334">
        <f>(Q10)/1000</f>
        <v>140.0307278256</v>
      </c>
      <c r="E53" s="334">
        <f>(Q11)/1000</f>
        <v>142.83134238211196</v>
      </c>
      <c r="F53" s="334">
        <f>(Q12)/1000</f>
        <v>145.68796922975423</v>
      </c>
      <c r="G53" s="334">
        <f>(Q13)/1000</f>
        <v>148.6017286143493</v>
      </c>
      <c r="H53" s="334">
        <f>(Q14)/1000</f>
        <v>151.57376318663631</v>
      </c>
      <c r="I53" s="334">
        <f>(Q15)/1000</f>
        <v>154.605238450369</v>
      </c>
      <c r="J53" s="334">
        <f>(Q16)/1000</f>
        <v>157.69734321937636</v>
      </c>
      <c r="K53" s="334">
        <f>(Q17)/1000</f>
        <v>160.85129008376393</v>
      </c>
      <c r="L53" s="334">
        <f>(Q18)/1000</f>
        <v>164.0683158854392</v>
      </c>
      <c r="M53" s="334">
        <f>(Q19)/1000</f>
        <v>167.34968220314798</v>
      </c>
      <c r="N53" s="334">
        <f>(Q20)/1000</f>
        <v>170.69667584721094</v>
      </c>
      <c r="O53" s="334">
        <f>(Q21)/1000</f>
        <v>174.11060936415518</v>
      </c>
      <c r="P53" s="334">
        <f>(Q22)/1000</f>
        <v>177.59282155143828</v>
      </c>
      <c r="Q53" s="334">
        <f>(Q23)/1000</f>
        <v>181.14467798246699</v>
      </c>
      <c r="R53" s="334">
        <f>(Q24)/1000</f>
        <v>184.76757154211634</v>
      </c>
      <c r="S53" s="334">
        <f>(Q25)/1000</f>
        <v>188.46292297295872</v>
      </c>
      <c r="T53" s="334">
        <f>(Q26)/1000</f>
        <v>192.23218143241786</v>
      </c>
      <c r="U53" s="334">
        <f>(Q27)/1000</f>
        <v>196.07682506106622</v>
      </c>
      <c r="V53" s="334">
        <f>(Q28)/1000</f>
        <v>199.99836156228758</v>
      </c>
      <c r="W53" s="334">
        <f>(Q29)/1000</f>
        <v>203.99832879353329</v>
      </c>
    </row>
    <row r="54" spans="1:23" ht="19" customHeight="1">
      <c r="A54" s="330"/>
      <c r="B54" s="328" t="str">
        <f>R7</f>
        <v>OREC</v>
      </c>
      <c r="C54" s="334">
        <f>(R9)/1000</f>
        <v>0</v>
      </c>
      <c r="D54" s="334">
        <f>(R10)/1000</f>
        <v>0</v>
      </c>
      <c r="E54" s="334">
        <f>(R11)/1000</f>
        <v>0</v>
      </c>
      <c r="F54" s="334">
        <f>(R12)/1000</f>
        <v>0</v>
      </c>
      <c r="G54" s="334">
        <f>(R13)/1000</f>
        <v>79.849296764999991</v>
      </c>
      <c r="H54" s="334">
        <f>(R14)/1000</f>
        <v>159.69859352999998</v>
      </c>
      <c r="I54" s="334">
        <f>(R15)/1000</f>
        <v>239.54789029499997</v>
      </c>
      <c r="J54" s="334">
        <f>(R16)/1000</f>
        <v>410.65352621999995</v>
      </c>
      <c r="K54" s="334">
        <f>(R17)/1000</f>
        <v>581.75916214499989</v>
      </c>
      <c r="L54" s="334">
        <f>(R18)/1000</f>
        <v>752.86479806999978</v>
      </c>
      <c r="M54" s="334">
        <f>(R19)/1000</f>
        <v>912.56339159999982</v>
      </c>
      <c r="N54" s="334">
        <f>(R20)/1000</f>
        <v>1072.2619851299996</v>
      </c>
      <c r="O54" s="334">
        <f>(R21)/1000</f>
        <v>1231.9605786599998</v>
      </c>
      <c r="P54" s="334">
        <f>(R22)/1000</f>
        <v>1391.6591721899997</v>
      </c>
      <c r="Q54" s="334">
        <f>(R23)/1000</f>
        <v>1551.3577657199999</v>
      </c>
      <c r="R54" s="334">
        <f>(R24)/1000</f>
        <v>1711.05635925</v>
      </c>
      <c r="S54" s="334">
        <f>(R25)/1000</f>
        <v>1711.05635925</v>
      </c>
      <c r="T54" s="334">
        <f>(R26)/1000</f>
        <v>1711.05635925</v>
      </c>
      <c r="U54" s="334">
        <f>(R27)/1000</f>
        <v>1711.05635925</v>
      </c>
      <c r="V54" s="334">
        <f>(R28)/1000</f>
        <v>1711.05635925</v>
      </c>
      <c r="W54" s="334">
        <f>(R29)/1000</f>
        <v>1711.05635925</v>
      </c>
    </row>
    <row r="55" spans="1:23" ht="19" customHeight="1">
      <c r="A55" s="330"/>
      <c r="B55" s="328" t="str">
        <f>S7</f>
        <v>Successor Program Cost</v>
      </c>
      <c r="C55" s="334">
        <f>(S9)/1000</f>
        <v>0</v>
      </c>
      <c r="D55" s="334">
        <f>(S10)/1000</f>
        <v>0</v>
      </c>
      <c r="E55" s="334">
        <f>(S11)/1000</f>
        <v>0</v>
      </c>
      <c r="F55" s="334">
        <f>(S12)/1000</f>
        <v>66.861686779999985</v>
      </c>
      <c r="G55" s="334">
        <f>(S13)/1000</f>
        <v>144.82521998384996</v>
      </c>
      <c r="H55" s="334">
        <f>(S14)/1000</f>
        <v>248.0096571971182</v>
      </c>
      <c r="I55" s="334">
        <f>(S15)/1000</f>
        <v>342.78262801606382</v>
      </c>
      <c r="J55" s="334">
        <f>(S16)/1000</f>
        <v>439.79085087190219</v>
      </c>
      <c r="K55" s="334">
        <f>(S17)/1000</f>
        <v>539.14029900811761</v>
      </c>
      <c r="L55" s="334">
        <f>(S18)/1000</f>
        <v>630.48723397308709</v>
      </c>
      <c r="M55" s="334">
        <f>(S19)/1000</f>
        <v>724.13194312502594</v>
      </c>
      <c r="N55" s="334">
        <f>(S20)/1000</f>
        <v>820.25536188413207</v>
      </c>
      <c r="O55" s="334">
        <f>(S21)/1000</f>
        <v>908.67088663757522</v>
      </c>
      <c r="P55" s="334">
        <f>(S22)/1000</f>
        <v>999.48635580082885</v>
      </c>
      <c r="Q55" s="334">
        <f>(S23)/1000</f>
        <v>1092.8629515138632</v>
      </c>
      <c r="R55" s="334">
        <f>(S24)/1000</f>
        <v>1178.8197489815145</v>
      </c>
      <c r="S55" s="334">
        <f>(S25)/1000</f>
        <v>1267.3166519323884</v>
      </c>
      <c r="T55" s="334">
        <f>(S26)/1000</f>
        <v>1358.4968235148863</v>
      </c>
      <c r="U55" s="334">
        <f>(S27)/1000</f>
        <v>1442.4363201657097</v>
      </c>
      <c r="V55" s="334">
        <f>(S28)/1000</f>
        <v>1529.0767443224472</v>
      </c>
      <c r="W55" s="334">
        <f>(S29)/1000</f>
        <v>1618.544868655805</v>
      </c>
    </row>
    <row r="56" spans="1:23" ht="19" customHeight="1">
      <c r="A56" s="330"/>
      <c r="B56" s="331" t="str">
        <f>T7</f>
        <v>Total Electric Costs</v>
      </c>
      <c r="C56" s="362">
        <f>(T9)/1000</f>
        <v>10361.994210127817</v>
      </c>
      <c r="D56" s="362">
        <f>(T10)/1000</f>
        <v>10489.152232429915</v>
      </c>
      <c r="E56" s="362">
        <f>(T11)/1000</f>
        <v>10861.396016943425</v>
      </c>
      <c r="F56" s="362">
        <f>(T12)/1000</f>
        <v>11263.599697530248</v>
      </c>
      <c r="G56" s="362">
        <f>(T13)/1000</f>
        <v>11862.452197007475</v>
      </c>
      <c r="H56" s="362">
        <f>(T14)/1000</f>
        <v>12543.825981618147</v>
      </c>
      <c r="I56" s="362">
        <f>(T15)/1000</f>
        <v>13176.09523646561</v>
      </c>
      <c r="J56" s="362">
        <f>(T16)/1000</f>
        <v>13962.758172813728</v>
      </c>
      <c r="K56" s="362">
        <f>(T17)/1000</f>
        <v>14784.123092204227</v>
      </c>
      <c r="L56" s="362">
        <f>(T18)/1000</f>
        <v>15592.259624702801</v>
      </c>
      <c r="M56" s="362">
        <f>(T19)/1000</f>
        <v>16300.335594860682</v>
      </c>
      <c r="N56" s="362">
        <f>(T20)/1000</f>
        <v>16907.109207221853</v>
      </c>
      <c r="O56" s="362">
        <f>(T21)/1000</f>
        <v>17689.182140253812</v>
      </c>
      <c r="P56" s="362">
        <f>(T22)/1000</f>
        <v>18557.810436910364</v>
      </c>
      <c r="Q56" s="362">
        <f>(T23)/1000</f>
        <v>19541.608408329081</v>
      </c>
      <c r="R56" s="362">
        <f>(T24)/1000</f>
        <v>20288.85499086741</v>
      </c>
      <c r="S56" s="362">
        <f>(T25)/1000</f>
        <v>20871.861219164297</v>
      </c>
      <c r="T56" s="362">
        <f>(T26)/1000</f>
        <v>21280.847368723422</v>
      </c>
      <c r="U56" s="362">
        <f>(T27)/1000</f>
        <v>21712.203356813836</v>
      </c>
      <c r="V56" s="362">
        <f>(T28)/1000</f>
        <v>22163.291792554035</v>
      </c>
      <c r="W56" s="362">
        <f>(T29)/1000</f>
        <v>22800.161428912048</v>
      </c>
    </row>
    <row r="57" spans="1:23" ht="19" customHeight="1">
      <c r="A57" s="330"/>
      <c r="B57" s="328"/>
      <c r="C57" s="359">
        <f>C58/C56</f>
        <v>0.09</v>
      </c>
      <c r="D57" s="359">
        <f>D58/D56</f>
        <v>0.09</v>
      </c>
      <c r="E57" s="359">
        <f t="shared" ref="E57:W57" si="0">E58/E56</f>
        <v>7.0000000000000021E-2</v>
      </c>
      <c r="F57" s="359">
        <f t="shared" si="0"/>
        <v>7.0000000000000007E-2</v>
      </c>
      <c r="G57" s="359">
        <f t="shared" si="0"/>
        <v>7.0000000000000021E-2</v>
      </c>
      <c r="H57" s="359">
        <f t="shared" si="0"/>
        <v>7.0000000000000007E-2</v>
      </c>
      <c r="I57" s="359">
        <f t="shared" si="0"/>
        <v>6.9999999999999993E-2</v>
      </c>
      <c r="J57" s="359">
        <f t="shared" si="0"/>
        <v>7.0000000000000007E-2</v>
      </c>
      <c r="K57" s="359">
        <f t="shared" si="0"/>
        <v>7.0000000000000007E-2</v>
      </c>
      <c r="L57" s="359">
        <f t="shared" si="0"/>
        <v>7.0000000000000007E-2</v>
      </c>
      <c r="M57" s="359">
        <f t="shared" si="0"/>
        <v>7.0000000000000007E-2</v>
      </c>
      <c r="N57" s="359">
        <f t="shared" si="0"/>
        <v>7.0000000000000007E-2</v>
      </c>
      <c r="O57" s="359">
        <f t="shared" si="0"/>
        <v>7.0000000000000007E-2</v>
      </c>
      <c r="P57" s="359">
        <f t="shared" si="0"/>
        <v>7.0000000000000021E-2</v>
      </c>
      <c r="Q57" s="359">
        <f t="shared" si="0"/>
        <v>7.0000000000000007E-2</v>
      </c>
      <c r="R57" s="359">
        <f t="shared" si="0"/>
        <v>7.0000000000000007E-2</v>
      </c>
      <c r="S57" s="359">
        <f t="shared" si="0"/>
        <v>7.0000000000000007E-2</v>
      </c>
      <c r="T57" s="359">
        <f t="shared" si="0"/>
        <v>7.0000000000000007E-2</v>
      </c>
      <c r="U57" s="359">
        <f t="shared" si="0"/>
        <v>7.0000000000000007E-2</v>
      </c>
      <c r="V57" s="359">
        <f t="shared" si="0"/>
        <v>7.0000000000000021E-2</v>
      </c>
      <c r="W57" s="359">
        <f t="shared" si="0"/>
        <v>7.0000000000000007E-2</v>
      </c>
    </row>
    <row r="58" spans="1:23" ht="19" customHeight="1">
      <c r="A58" s="330"/>
      <c r="B58" s="328" t="str">
        <f>V7</f>
        <v>RPS Cost Cap</v>
      </c>
      <c r="C58" s="334">
        <f>(V9)/1000</f>
        <v>932.57947891150354</v>
      </c>
      <c r="D58" s="334">
        <f>(V10)/1000</f>
        <v>944.02370091869227</v>
      </c>
      <c r="E58" s="334">
        <f>(V11)/1000</f>
        <v>760.29772118603989</v>
      </c>
      <c r="F58" s="334">
        <f>(V12)/1000</f>
        <v>788.45197882711739</v>
      </c>
      <c r="G58" s="334">
        <f>(V13)/1000</f>
        <v>830.3716537905234</v>
      </c>
      <c r="H58" s="334">
        <f>(V14)/1000</f>
        <v>878.06781871327041</v>
      </c>
      <c r="I58" s="334">
        <f>(V15)/1000</f>
        <v>922.32666655259266</v>
      </c>
      <c r="J58" s="334">
        <f>(V16)/1000</f>
        <v>977.39307209696108</v>
      </c>
      <c r="K58" s="334">
        <f>(V17)/1000</f>
        <v>1034.888616454296</v>
      </c>
      <c r="L58" s="334">
        <f>(V18)/1000</f>
        <v>1091.4581737291962</v>
      </c>
      <c r="M58" s="334">
        <f>(V19)/1000</f>
        <v>1141.0234916402478</v>
      </c>
      <c r="N58" s="334">
        <f>(V20)/1000</f>
        <v>1183.4976445055297</v>
      </c>
      <c r="O58" s="334">
        <f>(V21)/1000</f>
        <v>1238.2427498177669</v>
      </c>
      <c r="P58" s="334">
        <f>(V22)/1000</f>
        <v>1299.0467305837258</v>
      </c>
      <c r="Q58" s="334">
        <f>(V23)/1000</f>
        <v>1367.9125885830358</v>
      </c>
      <c r="R58" s="334">
        <f>(V24)/1000</f>
        <v>1420.2198493607189</v>
      </c>
      <c r="S58" s="334">
        <f>(V25)/1000</f>
        <v>1461.030285341501</v>
      </c>
      <c r="T58" s="334">
        <f>(V26)/1000</f>
        <v>1489.6593158106396</v>
      </c>
      <c r="U58" s="334">
        <f>(V27)/1000</f>
        <v>1519.8542349769687</v>
      </c>
      <c r="V58" s="334">
        <f>(V28)/1000</f>
        <v>1551.4304254787828</v>
      </c>
      <c r="W58" s="335">
        <f>(V29)/1000</f>
        <v>1596.0113000238434</v>
      </c>
    </row>
    <row r="59" spans="1:23" ht="19" customHeight="1">
      <c r="A59" s="330"/>
      <c r="B59" s="328" t="str">
        <f>W7</f>
        <v>Net RPS Costs</v>
      </c>
      <c r="C59" s="334">
        <f>(W9)/1000</f>
        <v>476.46584626743976</v>
      </c>
      <c r="D59" s="334">
        <f>(W10)/1000</f>
        <v>526.86390688533504</v>
      </c>
      <c r="E59" s="334">
        <f>(W11)/1000</f>
        <v>480.59224734774665</v>
      </c>
      <c r="F59" s="334">
        <f>(W12)/1000</f>
        <v>513.95587515757859</v>
      </c>
      <c r="G59" s="334">
        <f>(W13)/1000</f>
        <v>500.47150158142205</v>
      </c>
      <c r="H59" s="334">
        <f>(W14)/1000</f>
        <v>497.60727806709917</v>
      </c>
      <c r="I59" s="334">
        <f>(W15)/1000</f>
        <v>457.16245200091936</v>
      </c>
      <c r="J59" s="334">
        <f>(W16)/1000</f>
        <v>427.21339132904916</v>
      </c>
      <c r="K59" s="334">
        <f>(W17)/1000</f>
        <v>343.35825183268707</v>
      </c>
      <c r="L59" s="334">
        <f>(W18)/1000</f>
        <v>256.40388210997475</v>
      </c>
      <c r="M59" s="334">
        <f>(W19)/1000</f>
        <v>154.18496669211518</v>
      </c>
      <c r="N59" s="334">
        <f>(W20)/1000</f>
        <v>56.043858542731961</v>
      </c>
      <c r="O59" s="334">
        <f>(W21)/1000</f>
        <v>-7.6549471600390975</v>
      </c>
      <c r="P59" s="334">
        <f>(W22)/1000</f>
        <v>-85.823303610673406</v>
      </c>
      <c r="Q59" s="334">
        <f>(W23)/1000</f>
        <v>-224.01401229574415</v>
      </c>
      <c r="R59" s="334">
        <f>(W24)/1000</f>
        <v>-283.84996695059675</v>
      </c>
      <c r="S59" s="334">
        <f>(W25)/1000</f>
        <v>-322.841206086657</v>
      </c>
      <c r="T59" s="334">
        <f>(W26)/1000</f>
        <v>-379.46417917381552</v>
      </c>
      <c r="U59" s="334">
        <f>(W27)/1000</f>
        <v>-448.23351316718828</v>
      </c>
      <c r="V59" s="334">
        <f>(W28)/1000</f>
        <v>-492.27329184063126</v>
      </c>
      <c r="W59" s="334">
        <f>(W29)/1000</f>
        <v>-541.87274084960063</v>
      </c>
    </row>
    <row r="60" spans="1:23" ht="19" customHeight="1">
      <c r="A60" s="330"/>
      <c r="B60" s="332" t="str">
        <f>X7</f>
        <v>Annual Cost Cap Surplus</v>
      </c>
      <c r="C60" s="336">
        <f>(X9)/1000</f>
        <v>456.11363264406378</v>
      </c>
      <c r="D60" s="336">
        <f>(X10)/1000</f>
        <v>417.15979403335729</v>
      </c>
      <c r="E60" s="336">
        <f>(X11)/1000</f>
        <v>279.70547383829324</v>
      </c>
      <c r="F60" s="336">
        <f>(X12)/1000</f>
        <v>274.49610366953874</v>
      </c>
      <c r="G60" s="336">
        <f>(X13)/1000</f>
        <v>329.90015220910135</v>
      </c>
      <c r="H60" s="336">
        <f>(X14)/1000</f>
        <v>380.46054064617118</v>
      </c>
      <c r="I60" s="336">
        <f>(X15)/1000</f>
        <v>465.1642145516733</v>
      </c>
      <c r="J60" s="336">
        <f>(X16)/1000</f>
        <v>550.17968076791192</v>
      </c>
      <c r="K60" s="336">
        <f>(X17)/1000</f>
        <v>691.5303646216089</v>
      </c>
      <c r="L60" s="336">
        <f>(X18)/1000</f>
        <v>835.05429161922143</v>
      </c>
      <c r="M60" s="336">
        <f>(X19)/1000</f>
        <v>986.83852494813266</v>
      </c>
      <c r="N60" s="336">
        <f>(X20)/1000</f>
        <v>1127.4537859627976</v>
      </c>
      <c r="O60" s="336">
        <f>(X21)/1000</f>
        <v>1245.8976969778059</v>
      </c>
      <c r="P60" s="336">
        <f>(X22)/1000</f>
        <v>1384.8700341943991</v>
      </c>
      <c r="Q60" s="336">
        <f>(X23)/1000</f>
        <v>1591.9266008787799</v>
      </c>
      <c r="R60" s="336">
        <f>(X24)/1000</f>
        <v>1704.0698163113157</v>
      </c>
      <c r="S60" s="336">
        <f>(X25)/1000</f>
        <v>1783.8714914281579</v>
      </c>
      <c r="T60" s="336">
        <f>(X26)/1000</f>
        <v>1869.1234949844552</v>
      </c>
      <c r="U60" s="336">
        <f>(X27)/1000</f>
        <v>1968.0877481441571</v>
      </c>
      <c r="V60" s="336">
        <f>(X28)/1000</f>
        <v>2043.703717319414</v>
      </c>
      <c r="W60" s="336">
        <f>(X29)/1000</f>
        <v>2137.8840408734441</v>
      </c>
    </row>
    <row r="61" spans="1:23" ht="19" customHeight="1">
      <c r="A61" s="330"/>
      <c r="B61" s="332" t="str">
        <f>Y7</f>
        <v>Cummulative Surplus</v>
      </c>
      <c r="C61" s="336">
        <f>(Y9)/1000</f>
        <v>1019.0677561148995</v>
      </c>
      <c r="D61" s="336">
        <f>(Y10)/1000</f>
        <v>1436.2275501482566</v>
      </c>
      <c r="E61" s="336">
        <f>(Y11)/1000</f>
        <v>1715.9330239865499</v>
      </c>
      <c r="F61" s="336">
        <f>(Y12)/1000</f>
        <v>1990.4291276560887</v>
      </c>
      <c r="G61" s="336">
        <f>(Y13)/1000</f>
        <v>2320.3292798651901</v>
      </c>
      <c r="H61" s="336">
        <f>(Y14)/1000</f>
        <v>2700.7898205113611</v>
      </c>
      <c r="I61" s="336">
        <f>(Y15)/1000</f>
        <v>3165.9540350630346</v>
      </c>
      <c r="J61" s="336">
        <f>(Y16)/1000</f>
        <v>3716.1337158309461</v>
      </c>
      <c r="K61" s="336">
        <f>(Y17)/1000</f>
        <v>4407.664080452555</v>
      </c>
      <c r="L61" s="336">
        <f>(Y18)/1000</f>
        <v>5242.7183720717767</v>
      </c>
      <c r="M61" s="336">
        <f>(Y19)/1000</f>
        <v>6229.5568970199101</v>
      </c>
      <c r="N61" s="336">
        <f>(Y20)/1000</f>
        <v>7357.0106829827073</v>
      </c>
      <c r="O61" s="336">
        <f>(Y21)/1000</f>
        <v>8602.9083799605123</v>
      </c>
      <c r="P61" s="336">
        <f>(Y22)/1000</f>
        <v>9987.7784141549109</v>
      </c>
      <c r="Q61" s="336">
        <f>(Y23)/1000</f>
        <v>11579.705015033693</v>
      </c>
      <c r="R61" s="336">
        <f>(Y24)/1000</f>
        <v>13283.774831345007</v>
      </c>
      <c r="S61" s="336">
        <f>(Y25)/1000</f>
        <v>15067.646322773164</v>
      </c>
      <c r="T61" s="336">
        <f>(Y26)/1000</f>
        <v>16936.769817757617</v>
      </c>
      <c r="U61" s="336">
        <f>(Y27)/1000</f>
        <v>18904.857565901773</v>
      </c>
      <c r="V61" s="336">
        <f>(Y28)/1000</f>
        <v>20948.561283221188</v>
      </c>
      <c r="W61" s="336">
        <f>(Y29)/1000</f>
        <v>23086.445324094635</v>
      </c>
    </row>
    <row r="62" spans="1:23" ht="21">
      <c r="A62" s="330"/>
      <c r="B62" s="330"/>
      <c r="C62" s="330"/>
    </row>
    <row r="63" spans="1:23" ht="21">
      <c r="A63" s="423" t="s">
        <v>284</v>
      </c>
      <c r="B63" s="330"/>
      <c r="C63" s="330"/>
    </row>
    <row r="64" spans="1:23" ht="21">
      <c r="A64" s="330"/>
      <c r="B64" s="330"/>
      <c r="C64" s="330"/>
    </row>
    <row r="65" spans="1:16" ht="16">
      <c r="A65" s="366"/>
      <c r="B65" s="366" t="s">
        <v>203</v>
      </c>
      <c r="C65" s="366"/>
      <c r="D65" s="366">
        <v>2020</v>
      </c>
      <c r="E65" s="366">
        <v>2021</v>
      </c>
      <c r="F65" s="366">
        <v>2022</v>
      </c>
      <c r="G65" s="366">
        <v>2023</v>
      </c>
      <c r="H65" s="366">
        <v>2024</v>
      </c>
      <c r="I65" s="366">
        <v>2025</v>
      </c>
      <c r="J65" s="366">
        <v>2026</v>
      </c>
      <c r="K65" s="366">
        <v>2027</v>
      </c>
      <c r="L65" s="366">
        <v>2028</v>
      </c>
      <c r="M65" s="366">
        <v>2029</v>
      </c>
      <c r="N65" s="366">
        <v>2030</v>
      </c>
    </row>
    <row r="66" spans="1:16" ht="16">
      <c r="A66" s="367" t="s">
        <v>204</v>
      </c>
      <c r="B66" s="371" t="s">
        <v>143</v>
      </c>
      <c r="C66" s="368" t="s">
        <v>205</v>
      </c>
      <c r="D66" s="370">
        <f>C37</f>
        <v>89.99789100000001</v>
      </c>
      <c r="E66" s="370">
        <f t="shared" ref="E66:N66" si="1">D37</f>
        <v>121.0896</v>
      </c>
      <c r="F66" s="370">
        <f t="shared" si="1"/>
        <v>117.499242</v>
      </c>
      <c r="G66" s="370">
        <f t="shared" si="1"/>
        <v>137.53456400000002</v>
      </c>
      <c r="H66" s="370">
        <f t="shared" si="1"/>
        <v>180.74888179999999</v>
      </c>
      <c r="I66" s="370">
        <f t="shared" si="1"/>
        <v>255.86311870165034</v>
      </c>
      <c r="J66" s="370">
        <f t="shared" si="1"/>
        <v>270.65024582208025</v>
      </c>
      <c r="K66" s="370">
        <f t="shared" si="1"/>
        <v>260.27129058584484</v>
      </c>
      <c r="L66" s="370">
        <f t="shared" si="1"/>
        <v>255.03322129082929</v>
      </c>
      <c r="M66" s="370">
        <f t="shared" si="1"/>
        <v>250.8113434197912</v>
      </c>
      <c r="N66" s="370">
        <f t="shared" si="1"/>
        <v>251.98403564428921</v>
      </c>
    </row>
    <row r="67" spans="1:16" ht="16">
      <c r="A67" s="367" t="s">
        <v>206</v>
      </c>
      <c r="B67" s="371" t="s">
        <v>144</v>
      </c>
      <c r="C67" s="368" t="s">
        <v>205</v>
      </c>
      <c r="D67" s="370">
        <f t="shared" ref="D67:N67" si="2">C38</f>
        <v>718.64517879000005</v>
      </c>
      <c r="E67" s="370">
        <f t="shared" si="2"/>
        <v>774.63706935634184</v>
      </c>
      <c r="F67" s="370">
        <f t="shared" si="2"/>
        <v>747.11871217477187</v>
      </c>
      <c r="G67" s="370">
        <f t="shared" si="2"/>
        <v>719.30580549465219</v>
      </c>
      <c r="H67" s="370">
        <f t="shared" si="2"/>
        <v>664.09036269051819</v>
      </c>
      <c r="I67" s="370">
        <f t="shared" si="2"/>
        <v>623.79981014862801</v>
      </c>
      <c r="J67" s="370">
        <f t="shared" si="2"/>
        <v>559.47982671939053</v>
      </c>
      <c r="K67" s="370">
        <f t="shared" si="2"/>
        <v>516.08340662466139</v>
      </c>
      <c r="L67" s="370">
        <f t="shared" si="2"/>
        <v>422.21188638476468</v>
      </c>
      <c r="M67" s="370">
        <f t="shared" si="2"/>
        <v>328.74001462238664</v>
      </c>
      <c r="N67" s="370">
        <f t="shared" si="2"/>
        <v>223.6764880901469</v>
      </c>
    </row>
    <row r="68" spans="1:16" ht="16">
      <c r="A68" s="367" t="s">
        <v>207</v>
      </c>
      <c r="B68" s="371" t="s">
        <v>267</v>
      </c>
      <c r="C68" s="368" t="s">
        <v>205</v>
      </c>
      <c r="D68" s="370">
        <f t="shared" ref="D68:N68" si="3">C39</f>
        <v>0.350518</v>
      </c>
      <c r="E68" s="370">
        <f t="shared" si="3"/>
        <v>18.666285999999999</v>
      </c>
      <c r="F68" s="370">
        <f t="shared" si="3"/>
        <v>65.697306999999995</v>
      </c>
      <c r="G68" s="370">
        <f t="shared" si="3"/>
        <v>110.78488899999999</v>
      </c>
      <c r="H68" s="370">
        <f t="shared" si="3"/>
        <v>124.75738</v>
      </c>
      <c r="I68" s="370">
        <f t="shared" si="3"/>
        <v>124.1335931</v>
      </c>
      <c r="J68" s="370">
        <f t="shared" si="3"/>
        <v>123.51292513449999</v>
      </c>
      <c r="K68" s="370">
        <f t="shared" si="3"/>
        <v>122.89536050882749</v>
      </c>
      <c r="L68" s="370">
        <f t="shared" si="3"/>
        <v>122.28088370628336</v>
      </c>
      <c r="M68" s="370">
        <f t="shared" si="3"/>
        <v>121.66947928775194</v>
      </c>
      <c r="N68" s="370">
        <f t="shared" si="3"/>
        <v>121.06113189131318</v>
      </c>
    </row>
    <row r="69" spans="1:16" ht="16">
      <c r="A69" s="367" t="s">
        <v>209</v>
      </c>
      <c r="B69" s="371" t="s">
        <v>210</v>
      </c>
      <c r="C69" s="368" t="s">
        <v>205</v>
      </c>
      <c r="D69" s="370">
        <f t="shared" ref="D69:N69" si="4">C40</f>
        <v>0</v>
      </c>
      <c r="E69" s="370">
        <f t="shared" si="4"/>
        <v>0</v>
      </c>
      <c r="F69" s="370">
        <f t="shared" si="4"/>
        <v>0</v>
      </c>
      <c r="G69" s="370">
        <f t="shared" si="4"/>
        <v>62.685279999999999</v>
      </c>
      <c r="H69" s="370">
        <f t="shared" si="4"/>
        <v>135.77894759999998</v>
      </c>
      <c r="I69" s="370">
        <f t="shared" si="4"/>
        <v>232.51813636199998</v>
      </c>
      <c r="J69" s="370">
        <f t="shared" si="4"/>
        <v>321.37126733018994</v>
      </c>
      <c r="K69" s="370">
        <f t="shared" si="4"/>
        <v>412.32002894353894</v>
      </c>
      <c r="L69" s="370">
        <f t="shared" si="4"/>
        <v>505.46377499882124</v>
      </c>
      <c r="M69" s="370">
        <f t="shared" si="4"/>
        <v>591.10487188382717</v>
      </c>
      <c r="N69" s="370">
        <f t="shared" si="4"/>
        <v>678.90021621940798</v>
      </c>
    </row>
    <row r="70" spans="1:16" ht="15" customHeight="1">
      <c r="A70" s="376" t="s">
        <v>217</v>
      </c>
      <c r="B70" s="377" t="s">
        <v>224</v>
      </c>
      <c r="C70" s="378" t="s">
        <v>205</v>
      </c>
      <c r="D70" s="380">
        <f t="shared" ref="D70:N70" si="5">C41</f>
        <v>808.99358779000011</v>
      </c>
      <c r="E70" s="380">
        <f t="shared" si="5"/>
        <v>914.39295535634176</v>
      </c>
      <c r="F70" s="380">
        <f t="shared" si="5"/>
        <v>930.31526117477176</v>
      </c>
      <c r="G70" s="380">
        <f t="shared" si="5"/>
        <v>1030.3105384946523</v>
      </c>
      <c r="H70" s="380">
        <f t="shared" si="5"/>
        <v>1105.3755720905183</v>
      </c>
      <c r="I70" s="380">
        <f t="shared" si="5"/>
        <v>1236.3146583122782</v>
      </c>
      <c r="J70" s="380">
        <f t="shared" si="5"/>
        <v>1275.0142650061609</v>
      </c>
      <c r="K70" s="380">
        <f t="shared" si="5"/>
        <v>1311.5700866628727</v>
      </c>
      <c r="L70" s="380">
        <f t="shared" si="5"/>
        <v>1304.9897663806987</v>
      </c>
      <c r="M70" s="380">
        <f t="shared" si="5"/>
        <v>1292.3257092137569</v>
      </c>
      <c r="N70" s="380">
        <f t="shared" si="5"/>
        <v>1275.6218718451573</v>
      </c>
      <c r="O70" s="168"/>
    </row>
    <row r="71" spans="1:16" s="409" customFormat="1" ht="6" customHeight="1">
      <c r="A71" s="412"/>
      <c r="B71" s="413"/>
      <c r="C71" s="412"/>
      <c r="D71" s="408"/>
      <c r="E71" s="408"/>
      <c r="F71" s="408"/>
      <c r="G71" s="408"/>
      <c r="H71" s="408"/>
      <c r="I71" s="408"/>
      <c r="J71" s="408"/>
      <c r="K71" s="408"/>
      <c r="L71" s="408"/>
      <c r="M71" s="408"/>
      <c r="N71" s="408"/>
    </row>
    <row r="72" spans="1:16" ht="16">
      <c r="A72" s="367" t="s">
        <v>211</v>
      </c>
      <c r="B72" s="371" t="s">
        <v>153</v>
      </c>
      <c r="C72" s="368" t="s">
        <v>205</v>
      </c>
      <c r="D72" s="370">
        <f>C43</f>
        <v>125.93240356619842</v>
      </c>
      <c r="E72" s="370">
        <f t="shared" ref="E72:N72" si="6">D43</f>
        <v>133.5719405414369</v>
      </c>
      <c r="F72" s="370">
        <f t="shared" si="6"/>
        <v>154.76416354742562</v>
      </c>
      <c r="G72" s="370">
        <f t="shared" si="6"/>
        <v>181.78379386933281</v>
      </c>
      <c r="H72" s="370">
        <f t="shared" si="6"/>
        <v>205.7582867544117</v>
      </c>
      <c r="I72" s="370">
        <f t="shared" si="6"/>
        <v>255.17353229131993</v>
      </c>
      <c r="J72" s="370">
        <f t="shared" si="6"/>
        <v>288.47079338950249</v>
      </c>
      <c r="K72" s="370">
        <f t="shared" si="6"/>
        <v>315.4143877026471</v>
      </c>
      <c r="L72" s="370">
        <f t="shared" si="6"/>
        <v>347.35705416323816</v>
      </c>
      <c r="M72" s="370">
        <f t="shared" si="6"/>
        <v>372.97632903443679</v>
      </c>
      <c r="N72" s="370">
        <f t="shared" si="6"/>
        <v>413.42881526191189</v>
      </c>
    </row>
    <row r="73" spans="1:16" ht="16">
      <c r="A73" s="367" t="s">
        <v>212</v>
      </c>
      <c r="B73" s="371" t="s">
        <v>258</v>
      </c>
      <c r="C73" s="368" t="s">
        <v>205</v>
      </c>
      <c r="D73" s="370">
        <f>C44+C45</f>
        <v>63.74389315107944</v>
      </c>
      <c r="E73" s="370">
        <f t="shared" ref="E73:N73" si="7">D44+D45</f>
        <v>96.703482332417693</v>
      </c>
      <c r="F73" s="370">
        <f t="shared" si="7"/>
        <v>93.928679452422685</v>
      </c>
      <c r="G73" s="370">
        <f t="shared" si="7"/>
        <v>89.848436441437002</v>
      </c>
      <c r="H73" s="370">
        <f t="shared" si="7"/>
        <v>111.82407116178244</v>
      </c>
      <c r="I73" s="370">
        <f t="shared" si="7"/>
        <v>148.79968249673507</v>
      </c>
      <c r="J73" s="370">
        <f t="shared" si="7"/>
        <v>145.01070047150978</v>
      </c>
      <c r="K73" s="370">
        <f t="shared" si="7"/>
        <v>129.38956138225134</v>
      </c>
      <c r="L73" s="370">
        <f t="shared" si="7"/>
        <v>113.60730691011993</v>
      </c>
      <c r="M73" s="370">
        <f t="shared" si="7"/>
        <v>97.154352281174056</v>
      </c>
      <c r="N73" s="370">
        <f t="shared" si="7"/>
        <v>76.221171121012134</v>
      </c>
    </row>
    <row r="74" spans="1:16" ht="16">
      <c r="A74" s="367" t="s">
        <v>213</v>
      </c>
      <c r="B74" s="371" t="s">
        <v>155</v>
      </c>
      <c r="C74" s="368" t="s">
        <v>205</v>
      </c>
      <c r="D74" s="370">
        <f t="shared" ref="D74:N74" si="8">C46</f>
        <v>17.59164099342691</v>
      </c>
      <c r="E74" s="370">
        <f t="shared" si="8"/>
        <v>21.143854034164164</v>
      </c>
      <c r="F74" s="370">
        <f t="shared" si="8"/>
        <v>21.476520932901771</v>
      </c>
      <c r="G74" s="370">
        <f t="shared" si="8"/>
        <v>24.181259824226277</v>
      </c>
      <c r="H74" s="370">
        <f t="shared" si="8"/>
        <v>26.97740223400908</v>
      </c>
      <c r="I74" s="370">
        <f t="shared" si="8"/>
        <v>30.564941110091908</v>
      </c>
      <c r="J74" s="370">
        <f t="shared" si="8"/>
        <v>33.938856921133855</v>
      </c>
      <c r="K74" s="370">
        <f t="shared" si="8"/>
        <v>37.26266459606618</v>
      </c>
      <c r="L74" s="370">
        <f t="shared" si="8"/>
        <v>41.247245483419043</v>
      </c>
      <c r="M74" s="370">
        <f t="shared" si="8"/>
        <v>44.837349383662378</v>
      </c>
      <c r="N74" s="370">
        <f t="shared" si="8"/>
        <v>48.372170405038268</v>
      </c>
    </row>
    <row r="75" spans="1:16" ht="16">
      <c r="A75" s="367" t="s">
        <v>214</v>
      </c>
      <c r="B75" s="371" t="s">
        <v>178</v>
      </c>
      <c r="C75" s="368" t="s">
        <v>205</v>
      </c>
      <c r="D75" s="370">
        <f t="shared" ref="D75:N75" si="9">C47</f>
        <v>125.25980381185562</v>
      </c>
      <c r="E75" s="370">
        <f t="shared" si="9"/>
        <v>136.10977156298799</v>
      </c>
      <c r="F75" s="370">
        <f t="shared" si="9"/>
        <v>179.55364989427508</v>
      </c>
      <c r="G75" s="370">
        <f t="shared" si="9"/>
        <v>220.54117320207754</v>
      </c>
      <c r="H75" s="370">
        <f t="shared" si="9"/>
        <v>260.34431035889293</v>
      </c>
      <c r="I75" s="370">
        <f t="shared" si="9"/>
        <v>304.16922434703196</v>
      </c>
      <c r="J75" s="370">
        <f t="shared" si="9"/>
        <v>350.43146222309531</v>
      </c>
      <c r="K75" s="370">
        <f t="shared" si="9"/>
        <v>402.29008165285893</v>
      </c>
      <c r="L75" s="370">
        <f t="shared" si="9"/>
        <v>459.41990799123442</v>
      </c>
      <c r="M75" s="370">
        <f t="shared" si="9"/>
        <v>520.95379640450892</v>
      </c>
      <c r="N75" s="370">
        <f t="shared" si="9"/>
        <v>583.41474836507984</v>
      </c>
    </row>
    <row r="76" spans="1:16" ht="15" customHeight="1">
      <c r="A76" s="376" t="s">
        <v>259</v>
      </c>
      <c r="B76" s="377" t="s">
        <v>260</v>
      </c>
      <c r="C76" s="378" t="s">
        <v>205</v>
      </c>
      <c r="D76" s="380">
        <f t="shared" ref="D76:N76" si="10">C48</f>
        <v>332.52774152256035</v>
      </c>
      <c r="E76" s="380">
        <f t="shared" si="10"/>
        <v>387.52904847100672</v>
      </c>
      <c r="F76" s="380">
        <f t="shared" si="10"/>
        <v>449.72301382702517</v>
      </c>
      <c r="G76" s="380">
        <f t="shared" si="10"/>
        <v>516.35466333707359</v>
      </c>
      <c r="H76" s="380">
        <f t="shared" si="10"/>
        <v>604.90407050909619</v>
      </c>
      <c r="I76" s="380">
        <f t="shared" si="10"/>
        <v>738.70738024517891</v>
      </c>
      <c r="J76" s="380">
        <f t="shared" si="10"/>
        <v>817.85181300524141</v>
      </c>
      <c r="K76" s="380">
        <f t="shared" si="10"/>
        <v>884.35669533382361</v>
      </c>
      <c r="L76" s="380">
        <f t="shared" si="10"/>
        <v>961.63151454801164</v>
      </c>
      <c r="M76" s="380">
        <f t="shared" si="10"/>
        <v>1035.9218271037821</v>
      </c>
      <c r="N76" s="380">
        <f t="shared" si="10"/>
        <v>1121.4369051530421</v>
      </c>
      <c r="P76" s="380">
        <f>O48</f>
        <v>1339.6549194791839</v>
      </c>
    </row>
    <row r="77" spans="1:16" ht="19" customHeight="1">
      <c r="A77" s="376" t="s">
        <v>261</v>
      </c>
      <c r="B77" s="377" t="s">
        <v>164</v>
      </c>
      <c r="C77" s="378" t="s">
        <v>205</v>
      </c>
      <c r="D77" s="398">
        <f t="shared" ref="D77:N77" si="11">C59</f>
        <v>476.46584626743976</v>
      </c>
      <c r="E77" s="398">
        <f t="shared" si="11"/>
        <v>526.86390688533504</v>
      </c>
      <c r="F77" s="398">
        <f t="shared" si="11"/>
        <v>480.59224734774665</v>
      </c>
      <c r="G77" s="398">
        <f t="shared" si="11"/>
        <v>513.95587515757859</v>
      </c>
      <c r="H77" s="398">
        <f t="shared" si="11"/>
        <v>500.47150158142205</v>
      </c>
      <c r="I77" s="398">
        <f t="shared" si="11"/>
        <v>497.60727806709917</v>
      </c>
      <c r="J77" s="398">
        <f t="shared" si="11"/>
        <v>457.16245200091936</v>
      </c>
      <c r="K77" s="398">
        <f t="shared" si="11"/>
        <v>427.21339132904916</v>
      </c>
      <c r="L77" s="398">
        <f t="shared" si="11"/>
        <v>343.35825183268707</v>
      </c>
      <c r="M77" s="398">
        <f t="shared" si="11"/>
        <v>256.40388210997475</v>
      </c>
      <c r="N77" s="399">
        <f t="shared" si="11"/>
        <v>154.18496669211518</v>
      </c>
    </row>
    <row r="78" spans="1:16" s="409" customFormat="1" ht="7" customHeight="1">
      <c r="A78" s="396"/>
      <c r="B78" s="397"/>
      <c r="C78" s="396"/>
      <c r="D78" s="410"/>
      <c r="E78" s="410"/>
      <c r="F78" s="410"/>
      <c r="G78" s="410"/>
      <c r="H78" s="410"/>
      <c r="I78" s="410"/>
      <c r="J78" s="410"/>
      <c r="K78" s="410"/>
      <c r="L78" s="410"/>
      <c r="M78" s="410"/>
      <c r="N78" s="410"/>
    </row>
    <row r="79" spans="1:16" ht="16">
      <c r="A79" s="367" t="s">
        <v>222</v>
      </c>
      <c r="B79" s="371" t="s">
        <v>215</v>
      </c>
      <c r="C79" s="367" t="s">
        <v>220</v>
      </c>
      <c r="D79" s="370">
        <f>C56</f>
        <v>10361.994210127817</v>
      </c>
      <c r="E79" s="370">
        <f t="shared" ref="E79:N79" si="12">D56</f>
        <v>10489.152232429915</v>
      </c>
      <c r="F79" s="370">
        <f t="shared" si="12"/>
        <v>10861.396016943425</v>
      </c>
      <c r="G79" s="370">
        <f t="shared" si="12"/>
        <v>11263.599697530248</v>
      </c>
      <c r="H79" s="370">
        <f t="shared" si="12"/>
        <v>11862.452197007475</v>
      </c>
      <c r="I79" s="370">
        <f t="shared" si="12"/>
        <v>12543.825981618147</v>
      </c>
      <c r="J79" s="370">
        <f t="shared" si="12"/>
        <v>13176.09523646561</v>
      </c>
      <c r="K79" s="370">
        <f t="shared" si="12"/>
        <v>13962.758172813728</v>
      </c>
      <c r="L79" s="370">
        <f t="shared" si="12"/>
        <v>14784.123092204227</v>
      </c>
      <c r="M79" s="370">
        <f t="shared" si="12"/>
        <v>15592.259624702801</v>
      </c>
      <c r="N79" s="370">
        <f t="shared" si="12"/>
        <v>16300.335594860682</v>
      </c>
    </row>
    <row r="80" spans="1:16" ht="16">
      <c r="A80" s="367" t="s">
        <v>221</v>
      </c>
      <c r="B80" s="371" t="s">
        <v>218</v>
      </c>
      <c r="C80" s="367" t="s">
        <v>219</v>
      </c>
      <c r="D80" s="395">
        <f>C57</f>
        <v>0.09</v>
      </c>
      <c r="E80" s="395">
        <f t="shared" ref="E80:N80" si="13">D57</f>
        <v>0.09</v>
      </c>
      <c r="F80" s="395">
        <f t="shared" si="13"/>
        <v>7.0000000000000021E-2</v>
      </c>
      <c r="G80" s="395">
        <f t="shared" si="13"/>
        <v>7.0000000000000007E-2</v>
      </c>
      <c r="H80" s="395">
        <f t="shared" si="13"/>
        <v>7.0000000000000021E-2</v>
      </c>
      <c r="I80" s="395">
        <f t="shared" si="13"/>
        <v>7.0000000000000007E-2</v>
      </c>
      <c r="J80" s="395">
        <f t="shared" si="13"/>
        <v>6.9999999999999993E-2</v>
      </c>
      <c r="K80" s="395">
        <f t="shared" si="13"/>
        <v>7.0000000000000007E-2</v>
      </c>
      <c r="L80" s="395">
        <f t="shared" si="13"/>
        <v>7.0000000000000007E-2</v>
      </c>
      <c r="M80" s="395">
        <f t="shared" si="13"/>
        <v>7.0000000000000007E-2</v>
      </c>
      <c r="N80" s="395">
        <f t="shared" si="13"/>
        <v>7.0000000000000007E-2</v>
      </c>
    </row>
    <row r="81" spans="1:14" ht="15" customHeight="1">
      <c r="A81" s="372" t="s">
        <v>223</v>
      </c>
      <c r="B81" s="373" t="s">
        <v>162</v>
      </c>
      <c r="C81" s="374" t="s">
        <v>205</v>
      </c>
      <c r="D81" s="375">
        <f>C58</f>
        <v>932.57947891150354</v>
      </c>
      <c r="E81" s="375">
        <f t="shared" ref="E81:N81" si="14">D58</f>
        <v>944.02370091869227</v>
      </c>
      <c r="F81" s="375">
        <f t="shared" si="14"/>
        <v>760.29772118603989</v>
      </c>
      <c r="G81" s="375">
        <f t="shared" si="14"/>
        <v>788.45197882711739</v>
      </c>
      <c r="H81" s="375">
        <f t="shared" si="14"/>
        <v>830.3716537905234</v>
      </c>
      <c r="I81" s="375">
        <f t="shared" si="14"/>
        <v>878.06781871327041</v>
      </c>
      <c r="J81" s="375">
        <f t="shared" si="14"/>
        <v>922.32666655259266</v>
      </c>
      <c r="K81" s="375">
        <f t="shared" si="14"/>
        <v>977.39307209696108</v>
      </c>
      <c r="L81" s="375">
        <f t="shared" si="14"/>
        <v>1034.888616454296</v>
      </c>
      <c r="M81" s="375">
        <f t="shared" si="14"/>
        <v>1091.4581737291962</v>
      </c>
      <c r="N81" s="375">
        <f t="shared" si="14"/>
        <v>1141.0234916402478</v>
      </c>
    </row>
    <row r="82" spans="1:14" ht="31" customHeight="1">
      <c r="A82" s="420" t="s">
        <v>262</v>
      </c>
      <c r="B82" s="421" t="s">
        <v>168</v>
      </c>
      <c r="C82" s="422" t="s">
        <v>205</v>
      </c>
      <c r="D82" s="398">
        <f t="shared" ref="D82:N82" si="15">C60</f>
        <v>456.11363264406378</v>
      </c>
      <c r="E82" s="398">
        <f t="shared" si="15"/>
        <v>417.15979403335729</v>
      </c>
      <c r="F82" s="398">
        <f t="shared" si="15"/>
        <v>279.70547383829324</v>
      </c>
      <c r="G82" s="398">
        <f t="shared" si="15"/>
        <v>274.49610366953874</v>
      </c>
      <c r="H82" s="398">
        <f t="shared" si="15"/>
        <v>329.90015220910135</v>
      </c>
      <c r="I82" s="398">
        <f t="shared" si="15"/>
        <v>380.46054064617118</v>
      </c>
      <c r="J82" s="398">
        <f t="shared" si="15"/>
        <v>465.1642145516733</v>
      </c>
      <c r="K82" s="398">
        <f t="shared" si="15"/>
        <v>550.17968076791192</v>
      </c>
      <c r="L82" s="398">
        <f t="shared" si="15"/>
        <v>691.5303646216089</v>
      </c>
      <c r="M82" s="398">
        <f t="shared" si="15"/>
        <v>835.05429161922143</v>
      </c>
      <c r="N82" s="398">
        <f t="shared" si="15"/>
        <v>986.83852494813266</v>
      </c>
    </row>
    <row r="83" spans="1:14" ht="31" customHeight="1"/>
    <row r="87" spans="1:14">
      <c r="C87" t="s">
        <v>216</v>
      </c>
    </row>
    <row r="89" spans="1:14">
      <c r="D89">
        <f t="shared" ref="D89:N89" si="16">D65</f>
        <v>2020</v>
      </c>
      <c r="E89">
        <f t="shared" si="16"/>
        <v>2021</v>
      </c>
      <c r="F89">
        <f t="shared" si="16"/>
        <v>2022</v>
      </c>
      <c r="G89">
        <f t="shared" si="16"/>
        <v>2023</v>
      </c>
      <c r="H89">
        <f t="shared" si="16"/>
        <v>2024</v>
      </c>
      <c r="I89">
        <f t="shared" si="16"/>
        <v>2025</v>
      </c>
      <c r="J89">
        <f t="shared" si="16"/>
        <v>2026</v>
      </c>
      <c r="K89">
        <f t="shared" si="16"/>
        <v>2027</v>
      </c>
      <c r="L89">
        <f t="shared" si="16"/>
        <v>2028</v>
      </c>
      <c r="M89">
        <f t="shared" si="16"/>
        <v>2029</v>
      </c>
      <c r="N89">
        <f t="shared" si="16"/>
        <v>2030</v>
      </c>
    </row>
    <row r="90" spans="1:14">
      <c r="C90" t="s">
        <v>163</v>
      </c>
      <c r="D90" s="369">
        <f>D81</f>
        <v>932.57947891150354</v>
      </c>
      <c r="E90" s="369">
        <f t="shared" ref="E90:N90" si="17">E81</f>
        <v>944.02370091869227</v>
      </c>
      <c r="F90" s="369">
        <f t="shared" si="17"/>
        <v>760.29772118603989</v>
      </c>
      <c r="G90" s="369">
        <f t="shared" si="17"/>
        <v>788.45197882711739</v>
      </c>
      <c r="H90" s="369">
        <f t="shared" si="17"/>
        <v>830.3716537905234</v>
      </c>
      <c r="I90" s="369">
        <f t="shared" si="17"/>
        <v>878.06781871327041</v>
      </c>
      <c r="J90" s="369">
        <f t="shared" si="17"/>
        <v>922.32666655259266</v>
      </c>
      <c r="K90" s="369">
        <f t="shared" si="17"/>
        <v>977.39307209696108</v>
      </c>
      <c r="L90" s="369">
        <f t="shared" si="17"/>
        <v>1034.888616454296</v>
      </c>
      <c r="M90" s="369">
        <f t="shared" si="17"/>
        <v>1091.4581737291962</v>
      </c>
      <c r="N90" s="369">
        <f t="shared" si="17"/>
        <v>1141.0234916402478</v>
      </c>
    </row>
    <row r="91" spans="1:14">
      <c r="C91" t="str">
        <f>B77</f>
        <v>Net RPS Costs</v>
      </c>
      <c r="D91" s="369">
        <f t="shared" ref="D91:N91" si="18">D77</f>
        <v>476.46584626743976</v>
      </c>
      <c r="E91" s="369">
        <f t="shared" si="18"/>
        <v>526.86390688533504</v>
      </c>
      <c r="F91" s="369">
        <f t="shared" si="18"/>
        <v>480.59224734774665</v>
      </c>
      <c r="G91" s="369">
        <f t="shared" si="18"/>
        <v>513.95587515757859</v>
      </c>
      <c r="H91" s="369">
        <f t="shared" si="18"/>
        <v>500.47150158142205</v>
      </c>
      <c r="I91" s="369">
        <f t="shared" si="18"/>
        <v>497.60727806709917</v>
      </c>
      <c r="J91" s="369">
        <f t="shared" si="18"/>
        <v>457.16245200091936</v>
      </c>
      <c r="K91" s="369">
        <f t="shared" si="18"/>
        <v>427.21339132904916</v>
      </c>
      <c r="L91" s="369">
        <f t="shared" si="18"/>
        <v>343.35825183268707</v>
      </c>
      <c r="M91" s="369">
        <f t="shared" si="18"/>
        <v>256.40388210997475</v>
      </c>
      <c r="N91" s="369">
        <f t="shared" si="18"/>
        <v>154.18496669211518</v>
      </c>
    </row>
    <row r="92" spans="1:14">
      <c r="A92" t="s">
        <v>283</v>
      </c>
    </row>
    <row r="94" spans="1:14">
      <c r="A94" s="414"/>
      <c r="B94" s="414"/>
      <c r="C94" s="414"/>
      <c r="D94" s="414"/>
      <c r="E94" s="414"/>
      <c r="F94" s="414"/>
      <c r="G94" s="414"/>
      <c r="H94" s="414"/>
      <c r="I94" s="414"/>
      <c r="J94" s="414"/>
      <c r="K94" s="414"/>
      <c r="L94" s="414"/>
      <c r="M94" s="414"/>
      <c r="N94" s="414"/>
    </row>
    <row r="95" spans="1:14" ht="16">
      <c r="A95" s="415"/>
      <c r="B95" s="415" t="s">
        <v>203</v>
      </c>
      <c r="C95" s="415"/>
      <c r="D95" s="415">
        <v>2020</v>
      </c>
      <c r="E95" s="415">
        <v>2021</v>
      </c>
      <c r="F95" s="415">
        <v>2022</v>
      </c>
      <c r="G95" s="415">
        <v>2023</v>
      </c>
      <c r="H95" s="415">
        <v>2024</v>
      </c>
      <c r="I95" s="415">
        <v>2025</v>
      </c>
      <c r="J95" s="415">
        <v>2026</v>
      </c>
      <c r="K95" s="415">
        <v>2027</v>
      </c>
      <c r="L95" s="415">
        <v>2028</v>
      </c>
      <c r="M95" s="415">
        <v>2029</v>
      </c>
      <c r="N95" s="415">
        <v>2030</v>
      </c>
    </row>
    <row r="96" spans="1:14" ht="16">
      <c r="A96" s="367" t="s">
        <v>204</v>
      </c>
      <c r="B96" s="371" t="s">
        <v>143</v>
      </c>
      <c r="C96" s="368" t="s">
        <v>205</v>
      </c>
      <c r="D96" s="370">
        <v>90</v>
      </c>
      <c r="E96" s="370">
        <v>121</v>
      </c>
      <c r="F96" s="370">
        <v>117</v>
      </c>
      <c r="G96" s="370">
        <v>138</v>
      </c>
      <c r="H96" s="370">
        <v>200</v>
      </c>
      <c r="I96" s="370">
        <v>292</v>
      </c>
      <c r="J96" s="370">
        <v>274</v>
      </c>
      <c r="K96" s="370">
        <v>226</v>
      </c>
      <c r="L96" s="370">
        <v>184</v>
      </c>
      <c r="M96" s="370">
        <v>143</v>
      </c>
      <c r="N96" s="370">
        <v>288</v>
      </c>
    </row>
    <row r="97" spans="1:14" ht="16">
      <c r="A97" s="367" t="s">
        <v>206</v>
      </c>
      <c r="B97" s="371" t="s">
        <v>144</v>
      </c>
      <c r="C97" s="368" t="s">
        <v>205</v>
      </c>
      <c r="D97" s="370">
        <v>719</v>
      </c>
      <c r="E97" s="370">
        <v>775</v>
      </c>
      <c r="F97" s="370">
        <v>747</v>
      </c>
      <c r="G97" s="370">
        <v>719</v>
      </c>
      <c r="H97" s="370">
        <v>664</v>
      </c>
      <c r="I97" s="370">
        <v>624</v>
      </c>
      <c r="J97" s="370">
        <v>559</v>
      </c>
      <c r="K97" s="370">
        <v>516</v>
      </c>
      <c r="L97" s="370">
        <v>422</v>
      </c>
      <c r="M97" s="370">
        <v>329</v>
      </c>
      <c r="N97" s="370">
        <v>224</v>
      </c>
    </row>
    <row r="98" spans="1:14" ht="16">
      <c r="A98" s="367" t="s">
        <v>207</v>
      </c>
      <c r="B98" s="371" t="s">
        <v>208</v>
      </c>
      <c r="C98" s="368" t="s">
        <v>205</v>
      </c>
      <c r="D98" s="370">
        <v>0</v>
      </c>
      <c r="E98" s="370">
        <v>19</v>
      </c>
      <c r="F98" s="370">
        <v>66</v>
      </c>
      <c r="G98" s="370">
        <v>111</v>
      </c>
      <c r="H98" s="370">
        <v>125</v>
      </c>
      <c r="I98" s="370">
        <v>125</v>
      </c>
      <c r="J98" s="370">
        <v>125</v>
      </c>
      <c r="K98" s="370">
        <v>125</v>
      </c>
      <c r="L98" s="370">
        <v>125</v>
      </c>
      <c r="M98" s="370">
        <v>125</v>
      </c>
      <c r="N98" s="370">
        <v>125</v>
      </c>
    </row>
    <row r="99" spans="1:14" ht="16">
      <c r="A99" s="367" t="s">
        <v>209</v>
      </c>
      <c r="B99" s="371" t="s">
        <v>210</v>
      </c>
      <c r="C99" s="368" t="s">
        <v>205</v>
      </c>
      <c r="D99" s="370">
        <v>0</v>
      </c>
      <c r="E99" s="370">
        <v>0</v>
      </c>
      <c r="F99" s="370">
        <v>0</v>
      </c>
      <c r="G99" s="370">
        <v>94</v>
      </c>
      <c r="H99" s="370">
        <v>199</v>
      </c>
      <c r="I99" s="370">
        <v>307</v>
      </c>
      <c r="J99" s="370">
        <v>408</v>
      </c>
      <c r="K99" s="370">
        <v>511</v>
      </c>
      <c r="L99" s="370">
        <v>619</v>
      </c>
      <c r="M99" s="370">
        <v>718</v>
      </c>
      <c r="N99" s="370">
        <v>821</v>
      </c>
    </row>
    <row r="100" spans="1:14" ht="16">
      <c r="A100" s="376" t="s">
        <v>217</v>
      </c>
      <c r="B100" s="377" t="s">
        <v>224</v>
      </c>
      <c r="C100" s="411" t="s">
        <v>205</v>
      </c>
      <c r="D100" s="379">
        <v>809</v>
      </c>
      <c r="E100" s="379">
        <v>914</v>
      </c>
      <c r="F100" s="379">
        <v>930</v>
      </c>
      <c r="G100" s="379">
        <v>1062</v>
      </c>
      <c r="H100" s="379">
        <v>1188</v>
      </c>
      <c r="I100" s="379">
        <v>1348</v>
      </c>
      <c r="J100" s="379">
        <v>1366</v>
      </c>
      <c r="K100" s="379">
        <v>1378</v>
      </c>
      <c r="L100" s="379">
        <v>1350</v>
      </c>
      <c r="M100" s="379">
        <v>1314</v>
      </c>
      <c r="N100" s="379">
        <v>1458</v>
      </c>
    </row>
    <row r="101" spans="1:14">
      <c r="A101" s="412"/>
      <c r="B101" s="413"/>
      <c r="C101" s="413"/>
      <c r="D101" s="408"/>
      <c r="E101" s="408"/>
      <c r="F101" s="408"/>
      <c r="G101" s="408"/>
      <c r="H101" s="408"/>
      <c r="I101" s="408"/>
      <c r="J101" s="408"/>
      <c r="K101" s="408"/>
      <c r="L101" s="408"/>
      <c r="M101" s="408"/>
      <c r="N101" s="408"/>
    </row>
    <row r="102" spans="1:14" ht="16">
      <c r="A102" s="367" t="s">
        <v>211</v>
      </c>
      <c r="B102" s="371" t="s">
        <v>153</v>
      </c>
      <c r="C102" s="368" t="s">
        <v>205</v>
      </c>
      <c r="D102" s="370">
        <v>125</v>
      </c>
      <c r="E102" s="370">
        <v>135</v>
      </c>
      <c r="F102" s="370">
        <v>148</v>
      </c>
      <c r="G102" s="370">
        <v>182</v>
      </c>
      <c r="H102" s="370">
        <v>212</v>
      </c>
      <c r="I102" s="370">
        <v>243</v>
      </c>
      <c r="J102" s="370">
        <v>275</v>
      </c>
      <c r="K102" s="370">
        <v>309</v>
      </c>
      <c r="L102" s="370">
        <v>343</v>
      </c>
      <c r="M102" s="370">
        <v>380</v>
      </c>
      <c r="N102" s="370">
        <v>418</v>
      </c>
    </row>
    <row r="103" spans="1:14" ht="16">
      <c r="A103" s="367" t="s">
        <v>212</v>
      </c>
      <c r="B103" s="371" t="s">
        <v>258</v>
      </c>
      <c r="C103" s="368" t="s">
        <v>205</v>
      </c>
      <c r="D103" s="370">
        <v>14</v>
      </c>
      <c r="E103" s="370">
        <v>14</v>
      </c>
      <c r="F103" s="370">
        <v>14</v>
      </c>
      <c r="G103" s="370">
        <v>14</v>
      </c>
      <c r="H103" s="370">
        <v>14</v>
      </c>
      <c r="I103" s="370">
        <v>14</v>
      </c>
      <c r="J103" s="370">
        <v>14</v>
      </c>
      <c r="K103" s="370">
        <v>14</v>
      </c>
      <c r="L103" s="370">
        <v>14</v>
      </c>
      <c r="M103" s="370">
        <v>14</v>
      </c>
      <c r="N103" s="370">
        <v>15</v>
      </c>
    </row>
    <row r="104" spans="1:14" ht="16">
      <c r="A104" s="367" t="s">
        <v>213</v>
      </c>
      <c r="B104" s="371" t="s">
        <v>155</v>
      </c>
      <c r="C104" s="368" t="s">
        <v>205</v>
      </c>
      <c r="D104" s="370">
        <v>18</v>
      </c>
      <c r="E104" s="370">
        <v>21</v>
      </c>
      <c r="F104" s="370">
        <v>21</v>
      </c>
      <c r="G104" s="370">
        <v>24</v>
      </c>
      <c r="H104" s="370">
        <v>27</v>
      </c>
      <c r="I104" s="370">
        <v>31</v>
      </c>
      <c r="J104" s="370">
        <v>34</v>
      </c>
      <c r="K104" s="370">
        <v>37</v>
      </c>
      <c r="L104" s="370">
        <v>41</v>
      </c>
      <c r="M104" s="370">
        <v>45</v>
      </c>
      <c r="N104" s="370">
        <v>48</v>
      </c>
    </row>
    <row r="105" spans="1:14" ht="16">
      <c r="A105" s="367" t="s">
        <v>214</v>
      </c>
      <c r="B105" s="371" t="s">
        <v>178</v>
      </c>
      <c r="C105" s="368" t="s">
        <v>205</v>
      </c>
      <c r="D105" s="370">
        <v>125</v>
      </c>
      <c r="E105" s="370">
        <v>136</v>
      </c>
      <c r="F105" s="370">
        <v>180</v>
      </c>
      <c r="G105" s="370">
        <v>222</v>
      </c>
      <c r="H105" s="370">
        <v>262</v>
      </c>
      <c r="I105" s="370">
        <v>307</v>
      </c>
      <c r="J105" s="370">
        <v>354</v>
      </c>
      <c r="K105" s="370">
        <v>407</v>
      </c>
      <c r="L105" s="370">
        <v>466</v>
      </c>
      <c r="M105" s="370">
        <v>529</v>
      </c>
      <c r="N105" s="370">
        <v>594</v>
      </c>
    </row>
    <row r="106" spans="1:14" ht="16">
      <c r="A106" s="376" t="s">
        <v>259</v>
      </c>
      <c r="B106" s="377" t="s">
        <v>260</v>
      </c>
      <c r="C106" s="411" t="s">
        <v>205</v>
      </c>
      <c r="D106" s="379">
        <v>339</v>
      </c>
      <c r="E106" s="379">
        <v>412</v>
      </c>
      <c r="F106" s="379">
        <v>458</v>
      </c>
      <c r="G106" s="379">
        <v>527</v>
      </c>
      <c r="H106" s="379">
        <v>577</v>
      </c>
      <c r="I106" s="379">
        <v>737</v>
      </c>
      <c r="J106" s="379">
        <v>797</v>
      </c>
      <c r="K106" s="379">
        <v>846</v>
      </c>
      <c r="L106" s="379">
        <v>902</v>
      </c>
      <c r="M106" s="379">
        <v>1022</v>
      </c>
      <c r="N106" s="379">
        <v>1145</v>
      </c>
    </row>
    <row r="107" spans="1:14" ht="16">
      <c r="A107" s="376" t="s">
        <v>261</v>
      </c>
      <c r="B107" s="377" t="s">
        <v>164</v>
      </c>
      <c r="C107" s="411" t="s">
        <v>205</v>
      </c>
      <c r="D107" s="379">
        <v>470</v>
      </c>
      <c r="E107" s="379">
        <v>503</v>
      </c>
      <c r="F107" s="379">
        <v>472</v>
      </c>
      <c r="G107" s="379">
        <v>535</v>
      </c>
      <c r="H107" s="379">
        <v>611</v>
      </c>
      <c r="I107" s="379">
        <v>611</v>
      </c>
      <c r="J107" s="379">
        <v>569</v>
      </c>
      <c r="K107" s="379">
        <v>532</v>
      </c>
      <c r="L107" s="379">
        <v>448</v>
      </c>
      <c r="M107" s="379">
        <v>292</v>
      </c>
      <c r="N107" s="379">
        <v>312</v>
      </c>
    </row>
    <row r="108" spans="1:14">
      <c r="A108" s="396"/>
      <c r="B108" s="397"/>
      <c r="C108" s="397"/>
      <c r="D108" s="408"/>
      <c r="E108" s="408"/>
      <c r="F108" s="408"/>
      <c r="G108" s="408"/>
      <c r="H108" s="408"/>
      <c r="I108" s="408"/>
      <c r="J108" s="408"/>
      <c r="K108" s="408"/>
      <c r="L108" s="408"/>
      <c r="M108" s="408"/>
      <c r="N108" s="408"/>
    </row>
    <row r="109" spans="1:14" ht="16">
      <c r="A109" s="367" t="s">
        <v>222</v>
      </c>
      <c r="B109" s="371" t="s">
        <v>215</v>
      </c>
      <c r="C109" s="367" t="s">
        <v>220</v>
      </c>
      <c r="D109" s="370">
        <v>10362</v>
      </c>
      <c r="E109" s="370">
        <v>10489</v>
      </c>
      <c r="F109" s="370">
        <v>10861</v>
      </c>
      <c r="G109" s="370">
        <v>11297</v>
      </c>
      <c r="H109" s="370">
        <v>11930</v>
      </c>
      <c r="I109" s="370">
        <v>12623</v>
      </c>
      <c r="J109" s="370">
        <v>13268</v>
      </c>
      <c r="K109" s="370">
        <v>14068</v>
      </c>
      <c r="L109" s="370">
        <v>14905</v>
      </c>
      <c r="M109" s="370">
        <v>15728</v>
      </c>
      <c r="N109" s="370">
        <v>16452</v>
      </c>
    </row>
    <row r="110" spans="1:14" ht="16">
      <c r="A110" s="367" t="s">
        <v>221</v>
      </c>
      <c r="B110" s="371" t="s">
        <v>218</v>
      </c>
      <c r="C110" s="367" t="s">
        <v>219</v>
      </c>
      <c r="D110" s="395">
        <v>0.09</v>
      </c>
      <c r="E110" s="395">
        <v>0.09</v>
      </c>
      <c r="F110" s="395">
        <v>7.0000000000000007E-2</v>
      </c>
      <c r="G110" s="395">
        <v>7.0000000000000007E-2</v>
      </c>
      <c r="H110" s="395">
        <v>7.0000000000000007E-2</v>
      </c>
      <c r="I110" s="395">
        <v>7.0000000000000007E-2</v>
      </c>
      <c r="J110" s="395">
        <v>7.0000000000000007E-2</v>
      </c>
      <c r="K110" s="395">
        <v>7.0000000000000007E-2</v>
      </c>
      <c r="L110" s="395">
        <v>7.0000000000000007E-2</v>
      </c>
      <c r="M110" s="395">
        <v>7.0000000000000007E-2</v>
      </c>
      <c r="N110" s="395">
        <v>7.0000000000000007E-2</v>
      </c>
    </row>
    <row r="111" spans="1:14" ht="16">
      <c r="A111" s="367" t="s">
        <v>223</v>
      </c>
      <c r="B111" s="371" t="s">
        <v>162</v>
      </c>
      <c r="C111" s="368" t="s">
        <v>205</v>
      </c>
      <c r="D111" s="370">
        <v>933</v>
      </c>
      <c r="E111" s="370">
        <v>944</v>
      </c>
      <c r="F111" s="370">
        <v>760</v>
      </c>
      <c r="G111" s="370">
        <v>791</v>
      </c>
      <c r="H111" s="370">
        <v>835</v>
      </c>
      <c r="I111" s="370">
        <v>884</v>
      </c>
      <c r="J111" s="370">
        <v>929</v>
      </c>
      <c r="K111" s="370">
        <v>985</v>
      </c>
      <c r="L111" s="370">
        <v>1043</v>
      </c>
      <c r="M111" s="370">
        <v>1101</v>
      </c>
      <c r="N111" s="370">
        <v>1152</v>
      </c>
    </row>
    <row r="112" spans="1:14" ht="16">
      <c r="A112" s="376" t="s">
        <v>262</v>
      </c>
      <c r="B112" s="377" t="s">
        <v>168</v>
      </c>
      <c r="C112" s="378" t="s">
        <v>205</v>
      </c>
      <c r="D112" s="379">
        <v>463</v>
      </c>
      <c r="E112" s="379">
        <v>441</v>
      </c>
      <c r="F112" s="379">
        <v>288</v>
      </c>
      <c r="G112" s="379">
        <v>256</v>
      </c>
      <c r="H112" s="379">
        <v>225</v>
      </c>
      <c r="I112" s="379">
        <v>273</v>
      </c>
      <c r="J112" s="379">
        <v>360</v>
      </c>
      <c r="K112" s="379">
        <v>452</v>
      </c>
      <c r="L112" s="379">
        <v>596</v>
      </c>
      <c r="M112" s="379">
        <v>809</v>
      </c>
      <c r="N112" s="379">
        <v>839</v>
      </c>
    </row>
  </sheetData>
  <mergeCells count="5">
    <mergeCell ref="A37:A41"/>
    <mergeCell ref="G6:M6"/>
    <mergeCell ref="N6:T6"/>
    <mergeCell ref="U6:Y6"/>
    <mergeCell ref="B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Cover Page &amp; Footnotes</vt:lpstr>
      <vt:lpstr>Cost Cap Tool</vt:lpstr>
      <vt:lpstr>Incentive Detail</vt:lpstr>
      <vt:lpstr>Convert Cadmus to Cost Cap</vt:lpstr>
      <vt:lpstr>EIA Escalation</vt:lpstr>
      <vt:lpstr>PPT Formatting</vt:lpstr>
      <vt:lpstr>PPT_Tbl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Witherell</dc:creator>
  <cp:lastModifiedBy>Greg Tyson</cp:lastModifiedBy>
  <dcterms:created xsi:type="dcterms:W3CDTF">2021-02-26T02:42:39Z</dcterms:created>
  <dcterms:modified xsi:type="dcterms:W3CDTF">2021-05-26T17:53:56Z</dcterms:modified>
</cp:coreProperties>
</file>