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1 RATE CASE\UPDATE - 1\"/>
    </mc:Choice>
  </mc:AlternateContent>
  <xr:revisionPtr revIDLastSave="0" documentId="13_ncr:1_{27F83866-0793-4856-B6F9-D92985D420B3}" xr6:coauthVersionLast="45" xr6:coauthVersionMax="45" xr10:uidLastSave="{00000000-0000-0000-0000-000000000000}"/>
  <bookViews>
    <workbookView xWindow="3375" yWindow="3120" windowWidth="18900" windowHeight="11055" tabRatio="744" xr2:uid="{00000000-000D-0000-FFFF-FFFF00000000}"/>
  </bookViews>
  <sheets>
    <sheet name="JMC - 1 (Rev. Req)" sheetId="1" r:id="rId1"/>
    <sheet name="JMC - 2 (Rate Base)" sheetId="2" r:id="rId2"/>
    <sheet name="JMC - 3 (WACC)" sheetId="15" r:id="rId3"/>
    <sheet name="JMC - 4 (Rev. Factor)" sheetId="16" r:id="rId4"/>
    <sheet name="JMC - 5 (Plant in Service)" sheetId="3" r:id="rId5"/>
    <sheet name="JMC - 6 (Plant Additions)" sheetId="8" r:id="rId6"/>
    <sheet name="JMC - 7 (Depreciation Reserve)" sheetId="7" r:id="rId7"/>
    <sheet name="JMC - 8 (Customer Advances)" sheetId="6" r:id="rId8"/>
    <sheet name="JMC - 9 (Inventory-Mat.&amp;Sup.)" sheetId="5" r:id="rId9"/>
    <sheet name="JMC - 10 (Prepayments)" sheetId="4" r:id="rId10"/>
    <sheet name="JMC - 11 (DFIT)" sheetId="12" r:id="rId11"/>
    <sheet name="JMC - 12 (Income Stmt)" sheetId="55" r:id="rId12"/>
    <sheet name="JMC - 13 (Operating Income)" sheetId="26" r:id="rId13"/>
    <sheet name="JMC - 14 (Wages - #1)" sheetId="32" r:id="rId14"/>
    <sheet name="JMC - 15 (Payroll Taxes - #2)" sheetId="31" r:id="rId15"/>
    <sheet name="JMC - 16 (Int. Sync. - #3)" sheetId="14" r:id="rId16"/>
    <sheet name="JMC - 17 (Pension-Fringes - #4)" sheetId="29" r:id="rId17"/>
    <sheet name="JMC - 18 (Assessment - #5)" sheetId="35" r:id="rId18"/>
    <sheet name="JMC - 19 (Incent. Margin - #6)" sheetId="33" r:id="rId19"/>
    <sheet name="JMC - 20 (Outside Service - #7)" sheetId="38" r:id="rId20"/>
    <sheet name="JMC- 21 (Depreciation - #8)" sheetId="59" r:id="rId21"/>
    <sheet name="JMC - 22 (SAVEGREEN - #9)" sheetId="36" r:id="rId22"/>
    <sheet name="JMC - 23 (RE Taxes - #10)" sheetId="41" r:id="rId23"/>
    <sheet name="JMC - 24 (Insurance - #11)" sheetId="43" r:id="rId24"/>
    <sheet name="JMC - 25 (Annual Review - #12)" sheetId="70" r:id="rId25"/>
    <sheet name="JMC - 26 (NEXT - #13)" sheetId="67" r:id="rId26"/>
    <sheet name="JMC - 27 (Revenue Adjust - #14)" sheetId="69" r:id="rId27"/>
    <sheet name="JMC - 28 (Rate Case Exp. - #15)" sheetId="73" r:id="rId28"/>
    <sheet name="JMC - 29 (Cap. Add. - #16)" sheetId="62" r:id="rId29"/>
    <sheet name="JMC - 30 (SRL - #17)" sheetId="66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Print_Area" localSheetId="0">'JMC - 1 (Rev. Req)'!$A$1:$F$30</definedName>
    <definedName name="_xlnm.Print_Area" localSheetId="9">'JMC - 10 (Prepayments)'!$A$1:$H$27</definedName>
    <definedName name="_xlnm.Print_Area" localSheetId="11">'JMC - 12 (Income Stmt)'!$A$1:$D$26</definedName>
    <definedName name="_xlnm.Print_Area" localSheetId="12">'JMC - 13 (Operating Income)'!$A$1:$I$51</definedName>
    <definedName name="_xlnm.Print_Area" localSheetId="15">'JMC - 16 (Int. Sync. - #3)'!$A$1:$G$28</definedName>
    <definedName name="_xlnm.Print_Area" localSheetId="16">'JMC - 17 (Pension-Fringes - #4)'!$A$1:$J$34</definedName>
    <definedName name="_xlnm.Print_Area" localSheetId="17">'JMC - 18 (Assessment - #5)'!$A$1:$J$24</definedName>
    <definedName name="_xlnm.Print_Area" localSheetId="18">'JMC - 19 (Incent. Margin - #6)'!$A$1:$J$19</definedName>
    <definedName name="_xlnm.Print_Area" localSheetId="19">'JMC - 20 (Outside Service - #7)'!$A$1:$K$30</definedName>
    <definedName name="_xlnm.Print_Area" localSheetId="21">'JMC - 22 (SAVEGREEN - #9)'!$A$1:$I$20</definedName>
    <definedName name="_xlnm.Print_Area" localSheetId="23">'JMC - 24 (Insurance - #11)'!$A$1:$H$22</definedName>
    <definedName name="_xlnm.Print_Area" localSheetId="28">'JMC - 29 (Cap. Add. - #16)'!$A$1:$H$38</definedName>
    <definedName name="_xlnm.Print_Area" localSheetId="4">'JMC - 5 (Plant in Service)'!$A$1:$F$31</definedName>
    <definedName name="_xlnm.Print_Area" localSheetId="5">'JMC - 6 (Plant Additions)'!$A$1:$F$25</definedName>
    <definedName name="_xlnm.Print_Area" localSheetId="6">'JMC - 7 (Depreciation Reserve)'!$A$1:$H$38</definedName>
    <definedName name="_xlnm.Print_Area" localSheetId="8">'JMC - 9 (Inventory-Mat.&amp;Sup.)'!$A$3:$G$24</definedName>
    <definedName name="_xlnm.Print_Area" localSheetId="20">'JMC- 21 (Depreciation - #8)'!$A$1:$J$26</definedName>
    <definedName name="solver_adj" localSheetId="2" hidden="1">'JMC - 3 (WACC)'!#REF!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'JMC - 3 (WACC)'!$E$14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0.512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2" l="1"/>
  <c r="C12" i="15" l="1"/>
  <c r="F29" i="7" l="1"/>
  <c r="G12" i="15" l="1"/>
  <c r="F24" i="3" l="1"/>
  <c r="G12" i="73" l="1"/>
  <c r="H12" i="62" l="1"/>
  <c r="F16" i="8" l="1"/>
  <c r="G12" i="69"/>
  <c r="G14" i="69"/>
  <c r="F24" i="12" l="1"/>
  <c r="F20" i="12"/>
  <c r="F18" i="12"/>
  <c r="F16" i="12"/>
  <c r="F14" i="12"/>
  <c r="F12" i="12"/>
  <c r="G24" i="62" l="1"/>
  <c r="G25" i="62"/>
  <c r="I14" i="29" l="1"/>
  <c r="G14" i="59" l="1"/>
  <c r="I12" i="59"/>
  <c r="E25" i="7"/>
  <c r="F21" i="3"/>
  <c r="F20" i="3"/>
  <c r="F19" i="3"/>
  <c r="F18" i="3"/>
  <c r="F17" i="3"/>
  <c r="F18" i="7"/>
  <c r="F17" i="7"/>
  <c r="F16" i="7"/>
  <c r="F15" i="7"/>
  <c r="F14" i="7"/>
  <c r="F20" i="8" l="1"/>
  <c r="F18" i="8"/>
  <c r="F14" i="8"/>
  <c r="F12" i="8"/>
  <c r="F11" i="16" l="1"/>
  <c r="E26" i="2" l="1"/>
  <c r="F12" i="5"/>
  <c r="G20" i="4"/>
  <c r="G18" i="4"/>
  <c r="G17" i="4"/>
  <c r="G16" i="4"/>
  <c r="G15" i="4"/>
  <c r="G14" i="4"/>
  <c r="G13" i="4"/>
  <c r="G12" i="4"/>
  <c r="F14" i="5"/>
  <c r="F12" i="6"/>
  <c r="G15" i="59"/>
  <c r="F20" i="14"/>
  <c r="C19" i="55"/>
  <c r="C18" i="55"/>
  <c r="C17" i="55"/>
  <c r="C16" i="55"/>
  <c r="C15" i="55"/>
  <c r="C12" i="55"/>
  <c r="H14" i="70"/>
  <c r="H12" i="70"/>
  <c r="G13" i="41"/>
  <c r="G13" i="32"/>
  <c r="G12" i="32"/>
  <c r="F11" i="35"/>
  <c r="H11" i="36"/>
  <c r="I12" i="33"/>
  <c r="I13" i="29"/>
  <c r="I12" i="29"/>
  <c r="I23" i="29"/>
  <c r="I22" i="29"/>
  <c r="I21" i="29"/>
  <c r="I20" i="29"/>
  <c r="I19" i="29"/>
  <c r="H14" i="38"/>
  <c r="H13" i="38"/>
  <c r="E25" i="2"/>
  <c r="G12" i="43" l="1"/>
  <c r="F41" i="66" l="1"/>
  <c r="F37" i="66"/>
  <c r="F42" i="66" l="1"/>
  <c r="G42" i="66" s="1"/>
  <c r="F43" i="66" l="1"/>
  <c r="G41" i="66"/>
  <c r="F39" i="66"/>
  <c r="G38" i="66"/>
  <c r="G37" i="66"/>
  <c r="G39" i="66" s="1"/>
  <c r="G43" i="66" l="1"/>
  <c r="G45" i="66" s="1"/>
  <c r="G47" i="66" s="1"/>
  <c r="F45" i="66"/>
  <c r="F47" i="66" s="1"/>
  <c r="H47" i="66" l="1"/>
  <c r="H13" i="66" s="1"/>
  <c r="E20" i="2"/>
  <c r="G15" i="67" l="1"/>
  <c r="H15" i="38" l="1"/>
  <c r="G21" i="66" l="1"/>
  <c r="G22" i="66" s="1"/>
  <c r="G25" i="66" s="1"/>
  <c r="A21" i="66"/>
  <c r="G15" i="73"/>
  <c r="A23" i="62"/>
  <c r="G23" i="62"/>
  <c r="G15" i="43"/>
  <c r="G17" i="43" s="1"/>
  <c r="G19" i="43" s="1"/>
  <c r="H34" i="26" s="1"/>
  <c r="G12" i="41"/>
  <c r="G15" i="41" s="1"/>
  <c r="G17" i="41" s="1"/>
  <c r="G19" i="41" s="1"/>
  <c r="H32" i="26" s="1"/>
  <c r="H13" i="36"/>
  <c r="I16" i="35"/>
  <c r="F14" i="35"/>
  <c r="I24" i="29"/>
  <c r="B23" i="29"/>
  <c r="I15" i="29"/>
  <c r="H13" i="31"/>
  <c r="F16" i="5"/>
  <c r="F14" i="6"/>
  <c r="E13" i="2" s="1"/>
  <c r="F13" i="16"/>
  <c r="F12" i="16"/>
  <c r="C14" i="14"/>
  <c r="H14" i="66" l="1"/>
  <c r="F18" i="35"/>
  <c r="G11" i="35"/>
  <c r="G14" i="35" s="1"/>
  <c r="G18" i="35" s="1"/>
  <c r="G19" i="35" s="1"/>
  <c r="G21" i="35" s="1"/>
  <c r="F25" i="3"/>
  <c r="G17" i="69"/>
  <c r="G19" i="69" s="1"/>
  <c r="G21" i="69" s="1"/>
  <c r="H40" i="26" s="1"/>
  <c r="E16" i="2"/>
  <c r="H16" i="38"/>
  <c r="H18" i="38" s="1"/>
  <c r="J22" i="38" s="1"/>
  <c r="J25" i="38" s="1"/>
  <c r="J27" i="38" s="1"/>
  <c r="H26" i="26" s="1"/>
  <c r="G27" i="66"/>
  <c r="H27" i="66" s="1"/>
  <c r="I27" i="29"/>
  <c r="I29" i="29" s="1"/>
  <c r="I31" i="29" s="1"/>
  <c r="H20" i="26" s="1"/>
  <c r="H16" i="62"/>
  <c r="G17" i="73"/>
  <c r="G19" i="73" s="1"/>
  <c r="H42" i="26" s="1"/>
  <c r="G17" i="67"/>
  <c r="G19" i="67" s="1"/>
  <c r="H38" i="26" s="1"/>
  <c r="G27" i="62"/>
  <c r="G31" i="62" s="1"/>
  <c r="G33" i="62" s="1"/>
  <c r="H33" i="62" s="1"/>
  <c r="F15" i="16"/>
  <c r="F17" i="16" s="1"/>
  <c r="H16" i="70"/>
  <c r="H18" i="70" s="1"/>
  <c r="H20" i="70" s="1"/>
  <c r="H36" i="26" s="1"/>
  <c r="H15" i="36"/>
  <c r="I14" i="33"/>
  <c r="F19" i="35" l="1"/>
  <c r="I18" i="35"/>
  <c r="I14" i="35"/>
  <c r="G19" i="4" s="1"/>
  <c r="G21" i="4" s="1"/>
  <c r="E21" i="2" s="1"/>
  <c r="F19" i="16"/>
  <c r="F21" i="16" s="1"/>
  <c r="I16" i="33"/>
  <c r="H24" i="26" s="1"/>
  <c r="H17" i="36"/>
  <c r="H30" i="26" s="1"/>
  <c r="E22" i="2" l="1"/>
  <c r="F21" i="35"/>
  <c r="I21" i="35" s="1"/>
  <c r="H22" i="26" s="1"/>
  <c r="I19" i="35"/>
  <c r="F23" i="16"/>
  <c r="F25" i="16" l="1"/>
  <c r="E20" i="1" s="1"/>
  <c r="H31" i="66" l="1"/>
  <c r="E28" i="1"/>
  <c r="G15" i="32" l="1"/>
  <c r="G17" i="32" s="1"/>
  <c r="G19" i="32" s="1"/>
  <c r="H14" i="26" s="1"/>
  <c r="H12" i="31" l="1"/>
  <c r="H15" i="31" s="1"/>
  <c r="H17" i="31" s="1"/>
  <c r="H19" i="31" s="1"/>
  <c r="H16" i="26" s="1"/>
  <c r="C21" i="55" l="1"/>
  <c r="C23" i="55" s="1"/>
  <c r="H10" i="26" s="1"/>
  <c r="C16" i="15" l="1"/>
  <c r="E12" i="15" l="1"/>
  <c r="E14" i="15"/>
  <c r="I14" i="15" s="1"/>
  <c r="M14" i="15" s="1"/>
  <c r="I12" i="15"/>
  <c r="B14" i="14" l="1"/>
  <c r="E16" i="15"/>
  <c r="I16" i="15"/>
  <c r="E12" i="1" s="1"/>
  <c r="M12" i="15"/>
  <c r="M16" i="15" s="1"/>
  <c r="K12" i="15"/>
  <c r="D14" i="14"/>
  <c r="F16" i="14" s="1"/>
  <c r="K14" i="15"/>
  <c r="I16" i="59"/>
  <c r="K16" i="15" l="1"/>
  <c r="H18" i="62" s="1"/>
  <c r="H20" i="62" s="1"/>
  <c r="H35" i="62" s="1"/>
  <c r="H44" i="26" s="1"/>
  <c r="I18" i="59"/>
  <c r="F33" i="7" s="1"/>
  <c r="F26" i="12" s="1"/>
  <c r="F30" i="12" s="1"/>
  <c r="E24" i="2" s="1"/>
  <c r="H16" i="66" l="1"/>
  <c r="H18" i="66" s="1"/>
  <c r="H29" i="66" s="1"/>
  <c r="H46" i="26" s="1"/>
  <c r="I20" i="59"/>
  <c r="I22" i="59" s="1"/>
  <c r="H28" i="26" s="1"/>
  <c r="H33" i="66" l="1"/>
  <c r="F22" i="8"/>
  <c r="F14" i="3" s="1"/>
  <c r="F22" i="3"/>
  <c r="F23" i="7" s="1"/>
  <c r="F20" i="7" l="1"/>
  <c r="E26" i="7" s="1"/>
  <c r="F27" i="7" l="1"/>
  <c r="F30" i="7" s="1"/>
  <c r="F32" i="7" l="1"/>
  <c r="F35" i="7" s="1"/>
  <c r="E12" i="2" s="1"/>
  <c r="F12" i="3" l="1"/>
  <c r="F27" i="3" s="1"/>
  <c r="E11" i="2" l="1"/>
  <c r="E14" i="2" l="1"/>
  <c r="E28" i="2" l="1"/>
  <c r="E10" i="1" l="1"/>
  <c r="E14" i="1" s="1"/>
  <c r="F10" i="14"/>
  <c r="F19" i="14" s="1"/>
  <c r="F22" i="14" s="1"/>
  <c r="F25" i="14" s="1"/>
  <c r="H18" i="26" s="1"/>
  <c r="H48" i="26" s="1"/>
  <c r="H50" i="26" s="1"/>
  <c r="E16" i="1" s="1"/>
  <c r="E18" i="1" l="1"/>
  <c r="E22" i="1" s="1"/>
  <c r="E30" i="1" l="1"/>
  <c r="H9" i="16"/>
  <c r="H11" i="16" l="1"/>
  <c r="H12" i="16"/>
  <c r="H13" i="16"/>
  <c r="H15" i="16" l="1"/>
  <c r="H17" i="16" s="1"/>
  <c r="H19" i="16" s="1"/>
  <c r="H21" i="16" s="1"/>
  <c r="H23" i="16" s="1"/>
  <c r="H25" i="16" s="1"/>
</calcChain>
</file>

<file path=xl/sharedStrings.xml><?xml version="1.0" encoding="utf-8"?>
<sst xmlns="http://schemas.openxmlformats.org/spreadsheetml/2006/main" count="566" uniqueCount="314">
  <si>
    <t>Rate Base</t>
  </si>
  <si>
    <t>Rate of Return</t>
  </si>
  <si>
    <t>Operating Income Requirement</t>
  </si>
  <si>
    <t>Revenue Factor</t>
  </si>
  <si>
    <t>Plant In Service</t>
  </si>
  <si>
    <t>Accumulated Depreciation Reserve</t>
  </si>
  <si>
    <t>Customer Advances</t>
  </si>
  <si>
    <t>Working Capital:</t>
  </si>
  <si>
    <t>Net Working Capital</t>
  </si>
  <si>
    <t>Deferred Taxes</t>
  </si>
  <si>
    <t>Total Direct Additions</t>
  </si>
  <si>
    <t>Retirements:</t>
  </si>
  <si>
    <t>Distribution</t>
  </si>
  <si>
    <t>General</t>
  </si>
  <si>
    <t>Total Retirements</t>
  </si>
  <si>
    <t>Total Charge to Depreciation Expense</t>
  </si>
  <si>
    <t>Retirements</t>
  </si>
  <si>
    <t>Net Increase</t>
  </si>
  <si>
    <t>Balance - Accumulated Depreciation</t>
  </si>
  <si>
    <t>Insurance</t>
  </si>
  <si>
    <t>Cost of Removal</t>
  </si>
  <si>
    <t>Capitalized Interest</t>
  </si>
  <si>
    <t>NJ Corporate Business Tax</t>
  </si>
  <si>
    <t>Interest Synchronization (Tax Savings)</t>
  </si>
  <si>
    <t>Adjustment #</t>
  </si>
  <si>
    <t>Percent</t>
  </si>
  <si>
    <t>Embedded Cost</t>
  </si>
  <si>
    <t>Weighted Cost</t>
  </si>
  <si>
    <t>Debt Components:</t>
  </si>
  <si>
    <t xml:space="preserve">  Long Term Debt</t>
  </si>
  <si>
    <t>Total Weighted Cost of Debt</t>
  </si>
  <si>
    <t>Annualized Interest Expense</t>
  </si>
  <si>
    <t>Less: Test Period Interest Expense</t>
  </si>
  <si>
    <t>Income Tax Rate</t>
  </si>
  <si>
    <t xml:space="preserve">Embedded </t>
  </si>
  <si>
    <t xml:space="preserve">Weighted </t>
  </si>
  <si>
    <t>Amount</t>
  </si>
  <si>
    <t>Cost</t>
  </si>
  <si>
    <t>Long-Term Debt</t>
  </si>
  <si>
    <t>Common Equity</t>
  </si>
  <si>
    <t>Total</t>
  </si>
  <si>
    <t>REVENUE FACTOR</t>
  </si>
  <si>
    <t>Revenue Increase</t>
  </si>
  <si>
    <t>Income Before Federal Income Taxes</t>
  </si>
  <si>
    <t>Return</t>
  </si>
  <si>
    <t>Operating Expense Increase Before Taxes</t>
  </si>
  <si>
    <t>Outside Services</t>
  </si>
  <si>
    <t>OPEB</t>
  </si>
  <si>
    <t>Operating Income Deficiency</t>
  </si>
  <si>
    <t>BPU Assessment Rate</t>
  </si>
  <si>
    <t>($000)</t>
  </si>
  <si>
    <t>Schedule #</t>
  </si>
  <si>
    <t>Pro-Forma Adjustments:</t>
  </si>
  <si>
    <t>Total Pro-Forma Adjustments</t>
  </si>
  <si>
    <t>Pension &amp; Fringe Benefits</t>
  </si>
  <si>
    <t>Adjustment No. 2</t>
  </si>
  <si>
    <t>Operating Expense Increase before Taxes</t>
  </si>
  <si>
    <t>Adjustment No. 3</t>
  </si>
  <si>
    <t>Adjustment No. 5</t>
  </si>
  <si>
    <t>Increase in Test Year Operating Expenses</t>
  </si>
  <si>
    <t>Adjustment No. 6</t>
  </si>
  <si>
    <t>Adjustment No. 7</t>
  </si>
  <si>
    <t>Estimated Assessment</t>
  </si>
  <si>
    <t>Less: Assessment Included in Test Year</t>
  </si>
  <si>
    <t>Operating Expenses</t>
  </si>
  <si>
    <t>BPU</t>
  </si>
  <si>
    <t>Adjustment No. 9</t>
  </si>
  <si>
    <t>Pension and Fringe Benefits</t>
  </si>
  <si>
    <t>Less:</t>
  </si>
  <si>
    <t>Amortization Period</t>
  </si>
  <si>
    <t>Real Estate Taxes</t>
  </si>
  <si>
    <t>Adjustment No. 1</t>
  </si>
  <si>
    <t>Adjustment No. 4</t>
  </si>
  <si>
    <t>Net Interest Expense Increase/Decrease</t>
  </si>
  <si>
    <t>Insurance Premium Expense</t>
  </si>
  <si>
    <t>Test Year Insurance Premium Expense</t>
  </si>
  <si>
    <t>Balance at</t>
  </si>
  <si>
    <t xml:space="preserve">Test Year </t>
  </si>
  <si>
    <t>Uncollectible Rate</t>
  </si>
  <si>
    <t>Storage</t>
  </si>
  <si>
    <t>Transmission</t>
  </si>
  <si>
    <t>Test Year Distribution Operating Income</t>
  </si>
  <si>
    <t>Total Pro-Forma Distribution Operating Income</t>
  </si>
  <si>
    <t>PRO-FORMA  DISTRIBUTION OPERATING INCOME</t>
  </si>
  <si>
    <t>Operating Income Increase (Decrease) After Taxes</t>
  </si>
  <si>
    <t>WEIGHTED AVERAGE COST OF CAPITAL</t>
  </si>
  <si>
    <t>Wages</t>
  </si>
  <si>
    <t>Payroll Taxes</t>
  </si>
  <si>
    <t xml:space="preserve"> INCOME STATEMENT</t>
  </si>
  <si>
    <t>Depreciation</t>
  </si>
  <si>
    <t>DETERMINATION OF REVENUE REQUIREMENTS</t>
  </si>
  <si>
    <t xml:space="preserve"> Revenue Requirements</t>
  </si>
  <si>
    <t>Total  Materials and Supplies</t>
  </si>
  <si>
    <t xml:space="preserve">Operation Expense                          </t>
  </si>
  <si>
    <t xml:space="preserve">Maintenance Expense                        </t>
  </si>
  <si>
    <t xml:space="preserve">Depreciation Expense                       </t>
  </si>
  <si>
    <t xml:space="preserve">Taxes Other Than Income Taxes              </t>
  </si>
  <si>
    <t>Rate Counsel Assessment Rate</t>
  </si>
  <si>
    <t>BPU/Rate Counsel Assessment</t>
  </si>
  <si>
    <t>Rate Counsel</t>
  </si>
  <si>
    <t>Total  Prepayments</t>
  </si>
  <si>
    <t>Test Year Property Taxes</t>
  </si>
  <si>
    <t>Property Taxes</t>
  </si>
  <si>
    <t>Annualization of Depreciation</t>
  </si>
  <si>
    <t>Annualization of Depreciation at Current Rates</t>
  </si>
  <si>
    <t xml:space="preserve">Test Year Depreciation </t>
  </si>
  <si>
    <t>Depreciation Annualization</t>
  </si>
  <si>
    <t>Extensions/Deposits</t>
  </si>
  <si>
    <t>BPU/Rate Counsel Assessments</t>
  </si>
  <si>
    <t>NEW JERSEY NATURAL GAS COMPANY</t>
  </si>
  <si>
    <t>RATE BASE</t>
  </si>
  <si>
    <t>Total Rate Base</t>
  </si>
  <si>
    <t>State of NJ Bus. Income Tax @ 9.00%</t>
  </si>
  <si>
    <t xml:space="preserve">CUSTOMER ADVANCES FOR CONSTRUCTION (a) </t>
  </si>
  <si>
    <t>Total Customer Advances for Construction</t>
  </si>
  <si>
    <t xml:space="preserve">ACCUMULATED DEFERRED INCOME TAXES </t>
  </si>
  <si>
    <t xml:space="preserve">Operating Revenues                         </t>
  </si>
  <si>
    <t>Operating Expenses:</t>
  </si>
  <si>
    <t xml:space="preserve">Total Utility Operating Expenses       </t>
  </si>
  <si>
    <t xml:space="preserve">Utility Operating Income                        </t>
  </si>
  <si>
    <t>UTILITY PLANT IN-SERVICE</t>
  </si>
  <si>
    <t xml:space="preserve">Production </t>
  </si>
  <si>
    <t>Total Utility Plant In-Service</t>
  </si>
  <si>
    <t>NEW JERSEY NATURALGAS COMPANY</t>
  </si>
  <si>
    <t xml:space="preserve">ACCUMULATED DEPRECIATION OF UTILITY PLANT </t>
  </si>
  <si>
    <t>Materials and Supplies</t>
  </si>
  <si>
    <t>Cash (Lead/Lag)</t>
  </si>
  <si>
    <t>Prepayments</t>
  </si>
  <si>
    <t>Gas Supply &amp; LNG Inventory</t>
  </si>
  <si>
    <t>Net of Tax</t>
  </si>
  <si>
    <t>Pre-tax</t>
  </si>
  <si>
    <t>Ending Balance</t>
  </si>
  <si>
    <t>Section 174 - R&amp;D</t>
  </si>
  <si>
    <t>Contribution-in-Aid-of-Construction</t>
  </si>
  <si>
    <t>Depreciation Study</t>
  </si>
  <si>
    <t>Income before State of NJ Bus. Income Tax</t>
  </si>
  <si>
    <t>Miscellaneous</t>
  </si>
  <si>
    <t>Test Year</t>
  </si>
  <si>
    <t>NJNG:</t>
  </si>
  <si>
    <t>JMC - 24</t>
  </si>
  <si>
    <t>JMC - 25</t>
  </si>
  <si>
    <t>Adjustment No. 8</t>
  </si>
  <si>
    <t>Adjustment No. 10</t>
  </si>
  <si>
    <t xml:space="preserve">Net BGSS Incentive Margin </t>
  </si>
  <si>
    <t>Outside Counsel</t>
  </si>
  <si>
    <t>Consultants</t>
  </si>
  <si>
    <t>Total Rate Case Expense</t>
  </si>
  <si>
    <t>Rate Case:</t>
  </si>
  <si>
    <t>Normalized Rate Case Expense</t>
  </si>
  <si>
    <t>Annualization of Depreciation Rate Change</t>
  </si>
  <si>
    <t>Difference</t>
  </si>
  <si>
    <t>Capital Expenditure</t>
  </si>
  <si>
    <t>Net of Tax Rate of Return</t>
  </si>
  <si>
    <t>Return on Capital Investment</t>
  </si>
  <si>
    <t>Depreciation on Capital</t>
  </si>
  <si>
    <t>Total Depreciation</t>
  </si>
  <si>
    <t>Total Net Expense Impact Before Tax</t>
  </si>
  <si>
    <t>Income Taxes @</t>
  </si>
  <si>
    <t>Operating Expense Increase After Taxes</t>
  </si>
  <si>
    <t>Capital Additions</t>
  </si>
  <si>
    <t>Total Accumulated Deferred Income Taxes</t>
  </si>
  <si>
    <t>Repairs and Maintenance</t>
  </si>
  <si>
    <t>Gas Supply and LNG Inventory (a)</t>
  </si>
  <si>
    <t xml:space="preserve">BGSS Incentive Margin </t>
  </si>
  <si>
    <t>Meter Lease (a)</t>
  </si>
  <si>
    <t>Delta Dental (a)</t>
  </si>
  <si>
    <t>Rents/Leases (a)</t>
  </si>
  <si>
    <t>Computer Lease (a)</t>
  </si>
  <si>
    <t>Insurance (a)</t>
  </si>
  <si>
    <t>Postage (a)</t>
  </si>
  <si>
    <t>WORKING CAPITAL - PREPAYMENTS</t>
  </si>
  <si>
    <t>JMC - 23</t>
  </si>
  <si>
    <t>Net Plant In Service</t>
  </si>
  <si>
    <t xml:space="preserve"> Total</t>
  </si>
  <si>
    <t xml:space="preserve">WORKING CAPITAL - GAS INVENTORY AND MATERIALS &amp; SUPPLIES </t>
  </si>
  <si>
    <t xml:space="preserve">Income Taxes - Current &amp; Deferred                     </t>
  </si>
  <si>
    <t xml:space="preserve">BPU &amp; Rate Counsel Assessment </t>
  </si>
  <si>
    <t>Fringe Transfer</t>
  </si>
  <si>
    <t>Accretion of ARO</t>
  </si>
  <si>
    <t>Meter Lease</t>
  </si>
  <si>
    <t>Total Additions</t>
  </si>
  <si>
    <t>DIRECT ADDITIONS TO PLANT IN-SERVICE</t>
  </si>
  <si>
    <t>SAVEGREEN</t>
  </si>
  <si>
    <t>SAVEGREEN Margin</t>
  </si>
  <si>
    <t>Consolidated Tax Adjustment</t>
  </si>
  <si>
    <t>Uniform Transitional Utility Assessment (a)</t>
  </si>
  <si>
    <t>50/50 Sharing</t>
  </si>
  <si>
    <t>Revenue Requirement</t>
  </si>
  <si>
    <t>SAFE COR/Retirements</t>
  </si>
  <si>
    <t>Pro-Forma Operating Income</t>
  </si>
  <si>
    <t>Southern Reliability Link</t>
  </si>
  <si>
    <t>Federal Income Taxes @ 21%</t>
  </si>
  <si>
    <t>Income Taxes @ 28.11%</t>
  </si>
  <si>
    <t>Excess Deferred Tax</t>
  </si>
  <si>
    <t>Adjustment No. 11</t>
  </si>
  <si>
    <t>Pension/401(K)</t>
  </si>
  <si>
    <t>JMC - 14</t>
  </si>
  <si>
    <t>JMC - 15</t>
  </si>
  <si>
    <t>JMC - 16</t>
  </si>
  <si>
    <t>JMC - 17</t>
  </si>
  <si>
    <t>JMC - 18</t>
  </si>
  <si>
    <t>JMC - 19</t>
  </si>
  <si>
    <t>JMC - 20</t>
  </si>
  <si>
    <t>JMC - 21</t>
  </si>
  <si>
    <t>JMC - 22</t>
  </si>
  <si>
    <t>Real Estate Taxes (a)</t>
  </si>
  <si>
    <t>Materials and Supplies (b)</t>
  </si>
  <si>
    <t>Test Year Operation &amp; Maintenance</t>
  </si>
  <si>
    <t>Normalized Operation &amp; Maintenance</t>
  </si>
  <si>
    <t>NEXT</t>
  </si>
  <si>
    <t>JMC - 27</t>
  </si>
  <si>
    <t>Adjustment No. 14</t>
  </si>
  <si>
    <t>Adjustment No. 12</t>
  </si>
  <si>
    <t>Adjustment No. 15</t>
  </si>
  <si>
    <t>JMC - 29</t>
  </si>
  <si>
    <t>JMC - 28</t>
  </si>
  <si>
    <t xml:space="preserve">Total Cost of Removal </t>
  </si>
  <si>
    <t>SAFE II/NJ RISE</t>
  </si>
  <si>
    <t>Class Change</t>
  </si>
  <si>
    <t>HMAD</t>
  </si>
  <si>
    <t>Operating Income Decrease Before Taxes</t>
  </si>
  <si>
    <t>Adjustment No. 13</t>
  </si>
  <si>
    <t>JMC - 26</t>
  </si>
  <si>
    <t>Revenue Adjustments</t>
  </si>
  <si>
    <t>Annual Review of Commercial Customers</t>
  </si>
  <si>
    <t>CIP Impact (Non-Weather)</t>
  </si>
  <si>
    <t>Annual Review of Commercial Customer Usage</t>
  </si>
  <si>
    <t>Program NEXT</t>
  </si>
  <si>
    <t xml:space="preserve">Revenue </t>
  </si>
  <si>
    <r>
      <t xml:space="preserve">Deferred Taxes </t>
    </r>
    <r>
      <rPr>
        <vertAlign val="superscript"/>
        <sz val="13"/>
        <rFont val="Arial"/>
        <family val="2"/>
      </rPr>
      <t>1</t>
    </r>
  </si>
  <si>
    <t>Deferred Taxes:</t>
  </si>
  <si>
    <t xml:space="preserve">Conservation Incentive Program </t>
  </si>
  <si>
    <t>JMC - 30</t>
  </si>
  <si>
    <t>Requested Additional Operating Revenue</t>
  </si>
  <si>
    <t>Revenue Requirement From:</t>
  </si>
  <si>
    <t>Operating Expense Decrease Before Taxes</t>
  </si>
  <si>
    <t>For Rate Design Purposes:</t>
  </si>
  <si>
    <t>Excess Cost of Removal - Test Year</t>
  </si>
  <si>
    <t>Source(s):</t>
  </si>
  <si>
    <t>Workpaper</t>
  </si>
  <si>
    <t>LL Summary</t>
  </si>
  <si>
    <t>Consolidated Taxes</t>
  </si>
  <si>
    <t>Long Term Debt</t>
  </si>
  <si>
    <t>Inventory</t>
  </si>
  <si>
    <t>DFIT</t>
  </si>
  <si>
    <t>CIP Non-Weather</t>
  </si>
  <si>
    <t>Rate Case Expense</t>
  </si>
  <si>
    <t>Rate Case  Expense</t>
  </si>
  <si>
    <t>Excess DFIT</t>
  </si>
  <si>
    <t>August 31, 2021</t>
  </si>
  <si>
    <t>Fiscal Year 2022</t>
  </si>
  <si>
    <t>FY 2022 Total</t>
  </si>
  <si>
    <t>Year 2020 Intrastate Revenues</t>
  </si>
  <si>
    <t>SRL</t>
  </si>
  <si>
    <t>Beginning Balance @ September 1, 2020</t>
  </si>
  <si>
    <t>(a) 13-month Average Balance (August 2020 - August 2021)</t>
  </si>
  <si>
    <t>Medical, net of employee contributions</t>
  </si>
  <si>
    <t>Dental, net of employee contributions</t>
  </si>
  <si>
    <t>Adjustment No. 16</t>
  </si>
  <si>
    <t>Adjustment No. 17</t>
  </si>
  <si>
    <t>Federal</t>
  </si>
  <si>
    <t>State</t>
  </si>
  <si>
    <t>Tax Depreciation Basis</t>
  </si>
  <si>
    <t>MACRS Rate</t>
  </si>
  <si>
    <t xml:space="preserve">Tax Depreciation </t>
  </si>
  <si>
    <t>Book Depreciation Basis</t>
  </si>
  <si>
    <t>Book Rate</t>
  </si>
  <si>
    <t xml:space="preserve">Book Depreciation </t>
  </si>
  <si>
    <t>Tax Rate</t>
  </si>
  <si>
    <t>SAFE II (Closeout)</t>
  </si>
  <si>
    <t>Deferred Taxes SAFE II/NJ RISE</t>
  </si>
  <si>
    <t>Excess Cost of Removal - through August 31, 2020</t>
  </si>
  <si>
    <t>Depreciable Plant-Depreciation</t>
  </si>
  <si>
    <t>FERC Balance Sheet</t>
  </si>
  <si>
    <t xml:space="preserve"> FERC Income Statement</t>
  </si>
  <si>
    <t>FERC Income Statement</t>
  </si>
  <si>
    <t>Pensions &amp;  Benefits</t>
  </si>
  <si>
    <t>Assessment</t>
  </si>
  <si>
    <t>BGSS Incentive Margin</t>
  </si>
  <si>
    <t>Taxes Other Than Income</t>
  </si>
  <si>
    <t xml:space="preserve">SAFE II-NJ RISE </t>
  </si>
  <si>
    <t>Assessment Rate (2021 Fiscal Year)</t>
  </si>
  <si>
    <t>Southern Reliability Link - RESTORATION</t>
  </si>
  <si>
    <t>Workpaper -</t>
  </si>
  <si>
    <t>JMC-11 - UPDATE-1 -</t>
  </si>
  <si>
    <t>JMC-10 - UPDATE-1 -</t>
  </si>
  <si>
    <t>JMC-12 - UPDATE-1 -</t>
  </si>
  <si>
    <t>JMC-13 - UPDATE-1 -</t>
  </si>
  <si>
    <t>JMC-14 - UPDATE-1 -</t>
  </si>
  <si>
    <t>JMC-16 - UPDATE-1 -</t>
  </si>
  <si>
    <t>JMC-17 - UPDATE-1 -</t>
  </si>
  <si>
    <t>JMC-18 - UPDATE-1 -</t>
  </si>
  <si>
    <t>JMC-19 - UPDATE-1 -</t>
  </si>
  <si>
    <t>JMC-20 - UPDATE-1 -</t>
  </si>
  <si>
    <t>JMC-21 - UPDATE-1 -</t>
  </si>
  <si>
    <t>JMC-7 - UPDATE-1 -</t>
  </si>
  <si>
    <t>(a) 13-month Average Balance (May 2020 - May 2021)</t>
  </si>
  <si>
    <t>JMC-5 - UPDATE-1 -</t>
  </si>
  <si>
    <t>JMC-4 - UPDATE-1 -</t>
  </si>
  <si>
    <t xml:space="preserve">JMC-8  - UPDATE-1 - </t>
  </si>
  <si>
    <t>Hydrogen Plant</t>
  </si>
  <si>
    <t>Safety Town</t>
  </si>
  <si>
    <t>JMC-9 - UPDATE-1 -</t>
  </si>
  <si>
    <t>JMC-6 - UPDATE-1 -</t>
  </si>
  <si>
    <t>2021 Annualization</t>
  </si>
  <si>
    <t>2022 Wage Increase</t>
  </si>
  <si>
    <t>(b) 13-month Average Balance (May 2020 - May 2021)</t>
  </si>
  <si>
    <t xml:space="preserve">Workpaper - </t>
  </si>
  <si>
    <t>JMC-1 - UPDATE-1 -</t>
  </si>
  <si>
    <t>JMC-2 - UPDATE-1 -</t>
  </si>
  <si>
    <t>JMC-3 - UPDATE-1 -</t>
  </si>
  <si>
    <t>Workpaper  -</t>
  </si>
  <si>
    <t>JMC-6  -UPDATE-1 -</t>
  </si>
  <si>
    <t>JMC-15 - UPDATE-1 -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</si>
</sst>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_);\(#,##0.0000\)"/>
    <numFmt numFmtId="165" formatCode="0_);\(0\)"/>
    <numFmt numFmtId="166" formatCode="_(&quot;$&quot;* #,##0_);_(&quot;$&quot;* \(#,##0\);_(&quot;$&quot;* &quot;-&quot;??_);_(@_)"/>
    <numFmt numFmtId="167" formatCode="0.0000"/>
    <numFmt numFmtId="168" formatCode="_(* #,##0_);_(* \(#,##0\);_(* &quot;-&quot;??_);_(@_)"/>
    <numFmt numFmtId="169" formatCode="0.000%"/>
    <numFmt numFmtId="170" formatCode="0.0000%"/>
    <numFmt numFmtId="171" formatCode="_(&quot;$&quot;* #,##0_);_(&quot;$&quot;* \(#,##0\);_(&quot;$&quot;* &quot;-&quot;????_);_(@_)"/>
    <numFmt numFmtId="172" formatCode="_(&quot;$&quot;* #,##0_);_(&quot;$&quot;* \(#,##0\);_(&quot;$&quot;* &quot;-&quot;???_);_(@_)"/>
    <numFmt numFmtId="173" formatCode="_(* #,##0.000_);_(* \(#,##0.0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u/>
      <sz val="13"/>
      <name val="Arial"/>
      <family val="2"/>
    </font>
    <font>
      <u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3"/>
      <name val="Arial"/>
      <family val="2"/>
    </font>
    <font>
      <b/>
      <sz val="10"/>
      <name val="Arial"/>
      <family val="2"/>
    </font>
    <font>
      <i/>
      <u/>
      <sz val="13"/>
      <name val="Arial"/>
      <family val="2"/>
    </font>
    <font>
      <sz val="10"/>
      <name val="Times New Roman"/>
      <family val="1"/>
    </font>
    <font>
      <vertAlign val="superscript"/>
      <sz val="13"/>
      <name val="Arial"/>
      <family val="2"/>
    </font>
    <font>
      <sz val="13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5" fontId="4" fillId="0" borderId="0" xfId="0" applyNumberFormat="1" applyFont="1"/>
    <xf numFmtId="37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/>
    <xf numFmtId="165" fontId="4" fillId="0" borderId="0" xfId="0" applyNumberFormat="1" applyFont="1"/>
    <xf numFmtId="0" fontId="5" fillId="0" borderId="0" xfId="0" applyFont="1"/>
    <xf numFmtId="165" fontId="4" fillId="0" borderId="0" xfId="0" applyNumberFormat="1" applyFont="1" applyBorder="1"/>
    <xf numFmtId="49" fontId="4" fillId="0" borderId="0" xfId="0" applyNumberFormat="1" applyFont="1" applyAlignment="1">
      <alignment horizontal="center"/>
    </xf>
    <xf numFmtId="0" fontId="7" fillId="0" borderId="0" xfId="0" applyFont="1"/>
    <xf numFmtId="10" fontId="4" fillId="0" borderId="0" xfId="0" applyNumberFormat="1" applyFont="1"/>
    <xf numFmtId="10" fontId="4" fillId="0" borderId="0" xfId="3" applyNumberFormat="1" applyFont="1"/>
    <xf numFmtId="0" fontId="0" fillId="0" borderId="0" xfId="0" applyFill="1"/>
    <xf numFmtId="0" fontId="7" fillId="0" borderId="0" xfId="0" applyFont="1" applyFill="1"/>
    <xf numFmtId="167" fontId="7" fillId="0" borderId="0" xfId="0" applyNumberFormat="1" applyFont="1" applyFill="1" applyBorder="1"/>
    <xf numFmtId="167" fontId="7" fillId="0" borderId="3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left"/>
    </xf>
    <xf numFmtId="167" fontId="6" fillId="0" borderId="4" xfId="0" applyNumberFormat="1" applyFont="1" applyFill="1" applyBorder="1"/>
    <xf numFmtId="166" fontId="4" fillId="0" borderId="0" xfId="2" applyNumberFormat="1" applyFont="1"/>
    <xf numFmtId="0" fontId="6" fillId="0" borderId="0" xfId="0" applyFont="1" applyAlignment="1">
      <alignment horizontal="center"/>
    </xf>
    <xf numFmtId="168" fontId="4" fillId="0" borderId="0" xfId="1" applyNumberFormat="1" applyFont="1"/>
    <xf numFmtId="168" fontId="4" fillId="0" borderId="1" xfId="1" applyNumberFormat="1" applyFont="1" applyBorder="1"/>
    <xf numFmtId="41" fontId="8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/>
    <xf numFmtId="0" fontId="7" fillId="0" borderId="0" xfId="0" applyFont="1" applyBorder="1"/>
    <xf numFmtId="0" fontId="4" fillId="0" borderId="0" xfId="0" applyFont="1" applyFill="1"/>
    <xf numFmtId="42" fontId="4" fillId="0" borderId="0" xfId="0" applyNumberFormat="1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0" fontId="4" fillId="0" borderId="0" xfId="3" applyNumberFormat="1" applyFont="1" applyBorder="1"/>
    <xf numFmtId="164" fontId="4" fillId="0" borderId="1" xfId="0" applyNumberFormat="1" applyFont="1" applyBorder="1" applyAlignment="1">
      <alignment horizontal="right"/>
    </xf>
    <xf numFmtId="166" fontId="4" fillId="0" borderId="0" xfId="2" applyNumberFormat="1" applyFont="1" applyBorder="1"/>
    <xf numFmtId="0" fontId="7" fillId="0" borderId="0" xfId="0" applyFont="1" applyFill="1" applyBorder="1" applyAlignment="1">
      <alignment horizontal="left"/>
    </xf>
    <xf numFmtId="44" fontId="4" fillId="0" borderId="0" xfId="2" applyFont="1"/>
    <xf numFmtId="44" fontId="0" fillId="0" borderId="0" xfId="2" applyFont="1"/>
    <xf numFmtId="44" fontId="3" fillId="0" borderId="0" xfId="2" applyFont="1" applyAlignment="1">
      <alignment horizontal="center"/>
    </xf>
    <xf numFmtId="166" fontId="0" fillId="0" borderId="0" xfId="2" applyNumberFormat="1" applyFont="1"/>
    <xf numFmtId="166" fontId="3" fillId="0" borderId="0" xfId="2" applyNumberFormat="1" applyFont="1" applyAlignment="1">
      <alignment horizontal="center"/>
    </xf>
    <xf numFmtId="168" fontId="4" fillId="0" borderId="0" xfId="1" applyNumberFormat="1" applyFont="1" applyFill="1"/>
    <xf numFmtId="168" fontId="4" fillId="0" borderId="0" xfId="1" applyNumberFormat="1" applyFont="1" applyFill="1" applyBorder="1"/>
    <xf numFmtId="168" fontId="4" fillId="0" borderId="1" xfId="1" applyNumberFormat="1" applyFont="1" applyFill="1" applyBorder="1"/>
    <xf numFmtId="0" fontId="0" fillId="0" borderId="0" xfId="0" applyAlignment="1"/>
    <xf numFmtId="0" fontId="6" fillId="0" borderId="0" xfId="0" applyFont="1" applyFill="1" applyAlignment="1">
      <alignment horizontal="center"/>
    </xf>
    <xf numFmtId="0" fontId="3" fillId="0" borderId="0" xfId="0" applyFont="1" applyAlignment="1"/>
    <xf numFmtId="49" fontId="5" fillId="0" borderId="0" xfId="0" applyNumberFormat="1" applyFont="1" applyAlignment="1"/>
    <xf numFmtId="0" fontId="12" fillId="0" borderId="0" xfId="0" applyFont="1"/>
    <xf numFmtId="37" fontId="6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Alignment="1"/>
    <xf numFmtId="10" fontId="4" fillId="0" borderId="1" xfId="0" applyNumberFormat="1" applyFont="1" applyBorder="1"/>
    <xf numFmtId="37" fontId="4" fillId="0" borderId="0" xfId="0" applyNumberFormat="1" applyFont="1" applyBorder="1"/>
    <xf numFmtId="37" fontId="4" fillId="0" borderId="0" xfId="0" applyNumberFormat="1" applyFont="1" applyFill="1"/>
    <xf numFmtId="5" fontId="5" fillId="0" borderId="0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left"/>
    </xf>
    <xf numFmtId="166" fontId="4" fillId="0" borderId="0" xfId="2" applyNumberFormat="1" applyFont="1" applyFill="1"/>
    <xf numFmtId="166" fontId="4" fillId="0" borderId="4" xfId="2" applyNumberFormat="1" applyFont="1" applyBorder="1"/>
    <xf numFmtId="0" fontId="4" fillId="0" borderId="0" xfId="0" applyFont="1" applyBorder="1"/>
    <xf numFmtId="166" fontId="4" fillId="0" borderId="1" xfId="2" applyNumberFormat="1" applyFont="1" applyBorder="1"/>
    <xf numFmtId="49" fontId="5" fillId="0" borderId="0" xfId="0" applyNumberFormat="1" applyFont="1" applyFill="1"/>
    <xf numFmtId="166" fontId="4" fillId="0" borderId="0" xfId="0" applyNumberFormat="1" applyFont="1"/>
    <xf numFmtId="168" fontId="4" fillId="0" borderId="0" xfId="1" applyNumberFormat="1" applyFont="1" applyBorder="1"/>
    <xf numFmtId="171" fontId="4" fillId="0" borderId="0" xfId="0" applyNumberFormat="1" applyFont="1"/>
    <xf numFmtId="44" fontId="4" fillId="0" borderId="0" xfId="2" applyFont="1" applyFill="1"/>
    <xf numFmtId="42" fontId="4" fillId="0" borderId="0" xfId="0" applyNumberFormat="1" applyFont="1" applyFill="1" applyAlignment="1">
      <alignment horizontal="right"/>
    </xf>
    <xf numFmtId="42" fontId="4" fillId="0" borderId="0" xfId="2" applyNumberFormat="1" applyFont="1" applyFill="1" applyAlignment="1">
      <alignment horizontal="right"/>
    </xf>
    <xf numFmtId="0" fontId="5" fillId="0" borderId="3" xfId="0" applyFont="1" applyBorder="1" applyAlignment="1">
      <alignment horizontal="center"/>
    </xf>
    <xf numFmtId="171" fontId="4" fillId="0" borderId="4" xfId="0" applyNumberFormat="1" applyFont="1" applyBorder="1"/>
    <xf numFmtId="166" fontId="4" fillId="0" borderId="5" xfId="2" applyNumberFormat="1" applyFont="1" applyBorder="1"/>
    <xf numFmtId="166" fontId="5" fillId="0" borderId="6" xfId="2" applyNumberFormat="1" applyFont="1" applyFill="1" applyBorder="1"/>
    <xf numFmtId="166" fontId="5" fillId="0" borderId="0" xfId="2" applyNumberFormat="1" applyFont="1" applyFill="1" applyBorder="1"/>
    <xf numFmtId="44" fontId="4" fillId="0" borderId="0" xfId="2" applyFont="1" applyBorder="1"/>
    <xf numFmtId="166" fontId="5" fillId="0" borderId="0" xfId="2" applyNumberFormat="1" applyFont="1" applyBorder="1"/>
    <xf numFmtId="166" fontId="4" fillId="0" borderId="4" xfId="0" applyNumberFormat="1" applyFont="1" applyBorder="1"/>
    <xf numFmtId="0" fontId="4" fillId="0" borderId="0" xfId="0" applyFont="1" applyFill="1" applyAlignment="1"/>
    <xf numFmtId="0" fontId="0" fillId="0" borderId="0" xfId="0" applyAlignment="1" applyProtection="1">
      <alignment horizontal="left"/>
    </xf>
    <xf numFmtId="166" fontId="6" fillId="0" borderId="4" xfId="2" applyNumberFormat="1" applyFont="1" applyBorder="1"/>
    <xf numFmtId="0" fontId="7" fillId="0" borderId="0" xfId="0" applyFont="1" applyAlignment="1"/>
    <xf numFmtId="166" fontId="5" fillId="0" borderId="5" xfId="2" applyNumberFormat="1" applyFont="1" applyBorder="1"/>
    <xf numFmtId="37" fontId="4" fillId="0" borderId="0" xfId="0" applyNumberFormat="1" applyFont="1" applyFill="1" applyBorder="1"/>
    <xf numFmtId="168" fontId="0" fillId="0" borderId="0" xfId="1" applyNumberFormat="1" applyFont="1"/>
    <xf numFmtId="168" fontId="0" fillId="0" borderId="0" xfId="1" applyNumberFormat="1" applyFont="1" applyFill="1"/>
    <xf numFmtId="168" fontId="0" fillId="0" borderId="0" xfId="1" applyNumberFormat="1" applyFont="1" applyBorder="1"/>
    <xf numFmtId="166" fontId="4" fillId="0" borderId="2" xfId="2" applyNumberFormat="1" applyFont="1" applyBorder="1"/>
    <xf numFmtId="166" fontId="6" fillId="0" borderId="5" xfId="2" applyNumberFormat="1" applyFont="1" applyBorder="1"/>
    <xf numFmtId="166" fontId="4" fillId="0" borderId="4" xfId="2" applyNumberFormat="1" applyFont="1" applyFill="1" applyBorder="1"/>
    <xf numFmtId="42" fontId="7" fillId="0" borderId="5" xfId="0" applyNumberFormat="1" applyFont="1" applyFill="1" applyBorder="1" applyAlignment="1">
      <alignment horizontal="right"/>
    </xf>
    <xf numFmtId="0" fontId="0" fillId="0" borderId="0" xfId="0" applyBorder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168" fontId="7" fillId="0" borderId="0" xfId="1" applyNumberFormat="1" applyFont="1" applyAlignment="1" applyProtection="1">
      <alignment horizontal="left"/>
    </xf>
    <xf numFmtId="166" fontId="7" fillId="0" borderId="0" xfId="2" applyNumberFormat="1" applyFont="1" applyFill="1" applyBorder="1"/>
    <xf numFmtId="166" fontId="4" fillId="0" borderId="0" xfId="2" applyNumberFormat="1" applyFont="1" applyFill="1" applyBorder="1"/>
    <xf numFmtId="166" fontId="0" fillId="0" borderId="0" xfId="0" applyNumberFormat="1"/>
    <xf numFmtId="166" fontId="4" fillId="0" borderId="2" xfId="2" applyNumberFormat="1" applyFont="1" applyFill="1" applyBorder="1"/>
    <xf numFmtId="165" fontId="4" fillId="0" borderId="0" xfId="0" applyNumberFormat="1" applyFont="1" applyFill="1"/>
    <xf numFmtId="166" fontId="5" fillId="0" borderId="5" xfId="2" applyNumberFormat="1" applyFont="1" applyFill="1" applyBorder="1"/>
    <xf numFmtId="10" fontId="4" fillId="0" borderId="0" xfId="3" applyNumberFormat="1" applyFont="1" applyFill="1"/>
    <xf numFmtId="165" fontId="4" fillId="0" borderId="0" xfId="0" applyNumberFormat="1" applyFont="1" applyFill="1" applyBorder="1"/>
    <xf numFmtId="168" fontId="7" fillId="0" borderId="1" xfId="1" applyNumberFormat="1" applyFont="1" applyFill="1" applyBorder="1"/>
    <xf numFmtId="166" fontId="7" fillId="0" borderId="0" xfId="2" applyNumberFormat="1" applyFont="1" applyFill="1"/>
    <xf numFmtId="44" fontId="0" fillId="0" borderId="0" xfId="2" applyFont="1" applyFill="1"/>
    <xf numFmtId="168" fontId="4" fillId="0" borderId="0" xfId="1" applyNumberFormat="1" applyFont="1" applyFill="1" applyBorder="1" applyAlignment="1">
      <alignment horizontal="right"/>
    </xf>
    <xf numFmtId="166" fontId="7" fillId="0" borderId="0" xfId="0" applyNumberFormat="1" applyFont="1" applyFill="1"/>
    <xf numFmtId="168" fontId="7" fillId="0" borderId="0" xfId="1" applyNumberFormat="1" applyFont="1" applyFill="1" applyBorder="1"/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0" fontId="0" fillId="0" borderId="0" xfId="0" applyAlignment="1"/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0" fontId="7" fillId="0" borderId="0" xfId="0" applyFont="1" applyAlignment="1">
      <alignment horizontal="center"/>
    </xf>
    <xf numFmtId="5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166" fontId="6" fillId="0" borderId="0" xfId="2" applyNumberFormat="1" applyFont="1" applyBorder="1"/>
    <xf numFmtId="10" fontId="4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Alignment="1"/>
    <xf numFmtId="0" fontId="6" fillId="0" borderId="0" xfId="0" applyFont="1" applyBorder="1" applyAlignment="1" applyProtection="1">
      <alignment horizontal="left"/>
    </xf>
    <xf numFmtId="168" fontId="7" fillId="0" borderId="0" xfId="1" applyNumberFormat="1" applyFont="1" applyBorder="1" applyAlignment="1" applyProtection="1">
      <alignment horizontal="left"/>
    </xf>
    <xf numFmtId="0" fontId="5" fillId="0" borderId="0" xfId="0" applyFont="1" applyAlignment="1"/>
    <xf numFmtId="44" fontId="3" fillId="0" borderId="0" xfId="2" applyFont="1" applyBorder="1" applyAlignment="1">
      <alignment horizontal="center"/>
    </xf>
    <xf numFmtId="49" fontId="3" fillId="0" borderId="0" xfId="0" applyNumberFormat="1" applyFont="1" applyAlignment="1"/>
    <xf numFmtId="166" fontId="6" fillId="0" borderId="0" xfId="2" applyNumberFormat="1" applyFont="1" applyBorder="1" applyAlignment="1">
      <alignment horizontal="center"/>
    </xf>
    <xf numFmtId="168" fontId="4" fillId="0" borderId="0" xfId="0" applyNumberFormat="1" applyFont="1" applyBorder="1"/>
    <xf numFmtId="166" fontId="4" fillId="0" borderId="0" xfId="0" applyNumberFormat="1" applyFont="1" applyBorder="1"/>
    <xf numFmtId="171" fontId="4" fillId="0" borderId="0" xfId="0" applyNumberFormat="1" applyFont="1" applyBorder="1"/>
    <xf numFmtId="0" fontId="6" fillId="0" borderId="0" xfId="0" applyFont="1" applyBorder="1" applyAlignment="1">
      <alignment horizontal="center" wrapText="1"/>
    </xf>
    <xf numFmtId="43" fontId="4" fillId="0" borderId="0" xfId="0" applyNumberFormat="1" applyFont="1" applyBorder="1"/>
    <xf numFmtId="169" fontId="4" fillId="0" borderId="0" xfId="3" applyNumberFormat="1" applyFont="1" applyBorder="1"/>
    <xf numFmtId="42" fontId="4" fillId="0" borderId="0" xfId="0" applyNumberFormat="1" applyFont="1" applyFill="1" applyBorder="1"/>
    <xf numFmtId="42" fontId="4" fillId="0" borderId="0" xfId="0" applyNumberFormat="1" applyFont="1" applyFill="1" applyBorder="1" applyAlignment="1">
      <alignment horizontal="right"/>
    </xf>
    <xf numFmtId="42" fontId="4" fillId="0" borderId="0" xfId="2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center"/>
    </xf>
    <xf numFmtId="170" fontId="0" fillId="0" borderId="0" xfId="0" applyNumberFormat="1"/>
    <xf numFmtId="44" fontId="0" fillId="0" borderId="0" xfId="0" applyNumberFormat="1"/>
    <xf numFmtId="49" fontId="5" fillId="0" borderId="0" xfId="0" applyNumberFormat="1" applyFont="1" applyBorder="1" applyAlignment="1">
      <alignment horizontal="center"/>
    </xf>
    <xf numFmtId="44" fontId="0" fillId="0" borderId="0" xfId="2" applyFont="1" applyBorder="1"/>
    <xf numFmtId="42" fontId="4" fillId="0" borderId="0" xfId="0" applyNumberFormat="1" applyFont="1" applyBorder="1"/>
    <xf numFmtId="42" fontId="7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165" fontId="4" fillId="0" borderId="0" xfId="2" applyNumberFormat="1" applyFont="1" applyBorder="1"/>
    <xf numFmtId="44" fontId="14" fillId="0" borderId="0" xfId="2" applyFont="1"/>
    <xf numFmtId="0" fontId="4" fillId="0" borderId="1" xfId="0" applyFont="1" applyBorder="1"/>
    <xf numFmtId="0" fontId="15" fillId="0" borderId="0" xfId="0" applyFont="1" applyAlignment="1" applyProtection="1">
      <alignment horizontal="left"/>
    </xf>
    <xf numFmtId="0" fontId="4" fillId="0" borderId="0" xfId="0" applyFont="1" applyFill="1" applyAlignment="1"/>
    <xf numFmtId="5" fontId="7" fillId="0" borderId="0" xfId="0" applyNumberFormat="1" applyFont="1" applyAlignment="1" applyProtection="1">
      <alignment horizontal="left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7" fontId="6" fillId="0" borderId="0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4" fillId="0" borderId="0" xfId="0" applyFont="1" applyBorder="1" applyAlignment="1"/>
    <xf numFmtId="0" fontId="13" fillId="0" borderId="1" xfId="0" applyFont="1" applyBorder="1" applyAlignment="1"/>
    <xf numFmtId="0" fontId="15" fillId="0" borderId="0" xfId="0" applyFont="1" applyBorder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7" fillId="0" borderId="0" xfId="0" applyFont="1" applyFill="1" applyAlignment="1">
      <alignment horizontal="left"/>
    </xf>
    <xf numFmtId="168" fontId="4" fillId="0" borderId="0" xfId="1" applyNumberFormat="1" applyFont="1" applyBorder="1" applyAlignment="1">
      <alignment horizontal="center"/>
    </xf>
    <xf numFmtId="168" fontId="1" fillId="0" borderId="0" xfId="1" applyNumberFormat="1" applyFont="1"/>
    <xf numFmtId="43" fontId="5" fillId="0" borderId="0" xfId="1" applyFont="1" applyAlignment="1">
      <alignment horizontal="center"/>
    </xf>
    <xf numFmtId="168" fontId="4" fillId="0" borderId="0" xfId="1" applyNumberFormat="1" applyFont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42" fontId="4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/>
    <xf numFmtId="0" fontId="7" fillId="0" borderId="0" xfId="0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/>
    <xf numFmtId="165" fontId="5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quotePrefix="1" applyFont="1" applyBorder="1" applyAlignment="1">
      <alignment horizontal="left"/>
    </xf>
    <xf numFmtId="5" fontId="4" fillId="0" borderId="0" xfId="0" applyNumberFormat="1" applyFont="1" applyFill="1" applyBorder="1"/>
    <xf numFmtId="165" fontId="0" fillId="0" borderId="0" xfId="0" applyNumberFormat="1" applyBorder="1"/>
    <xf numFmtId="0" fontId="5" fillId="0" borderId="0" xfId="0" applyFont="1" applyBorder="1"/>
    <xf numFmtId="0" fontId="11" fillId="0" borderId="0" xfId="0" applyFont="1" applyBorder="1"/>
    <xf numFmtId="168" fontId="8" fillId="0" borderId="0" xfId="1" applyNumberFormat="1" applyFont="1" applyBorder="1"/>
    <xf numFmtId="165" fontId="5" fillId="0" borderId="0" xfId="0" applyNumberFormat="1" applyFont="1" applyBorder="1"/>
    <xf numFmtId="37" fontId="5" fillId="0" borderId="0" xfId="0" applyNumberFormat="1" applyFont="1" applyBorder="1"/>
    <xf numFmtId="0" fontId="5" fillId="0" borderId="0" xfId="0" quotePrefix="1" applyFont="1" applyBorder="1" applyAlignment="1">
      <alignment horizontal="left"/>
    </xf>
    <xf numFmtId="166" fontId="4" fillId="0" borderId="5" xfId="2" applyNumberFormat="1" applyFont="1" applyFill="1" applyBorder="1"/>
    <xf numFmtId="0" fontId="4" fillId="0" borderId="0" xfId="0" applyFont="1" applyAlignment="1">
      <alignment horizontal="center"/>
    </xf>
    <xf numFmtId="37" fontId="5" fillId="0" borderId="0" xfId="0" applyNumberFormat="1" applyFont="1" applyAlignment="1">
      <alignment horizontal="left"/>
    </xf>
    <xf numFmtId="49" fontId="5" fillId="0" borderId="0" xfId="0" applyNumberFormat="1" applyFont="1" applyBorder="1" applyAlignment="1">
      <alignment horizontal="left"/>
    </xf>
    <xf numFmtId="166" fontId="4" fillId="0" borderId="0" xfId="0" applyNumberFormat="1" applyFont="1" applyFill="1"/>
    <xf numFmtId="10" fontId="4" fillId="0" borderId="1" xfId="3" applyNumberFormat="1" applyFont="1" applyBorder="1"/>
    <xf numFmtId="10" fontId="4" fillId="0" borderId="4" xfId="3" applyNumberFormat="1" applyFont="1" applyBorder="1"/>
    <xf numFmtId="14" fontId="4" fillId="0" borderId="0" xfId="0" applyNumberFormat="1" applyFont="1"/>
    <xf numFmtId="17" fontId="4" fillId="0" borderId="0" xfId="0" applyNumberFormat="1" applyFont="1"/>
    <xf numFmtId="0" fontId="4" fillId="0" borderId="0" xfId="0" applyFont="1" applyAlignment="1">
      <alignment horizontal="left"/>
    </xf>
    <xf numFmtId="166" fontId="6" fillId="0" borderId="0" xfId="0" applyNumberFormat="1" applyFont="1"/>
    <xf numFmtId="0" fontId="4" fillId="0" borderId="0" xfId="0" applyFont="1" applyAlignment="1">
      <alignment horizontal="center"/>
    </xf>
    <xf numFmtId="10" fontId="0" fillId="0" borderId="0" xfId="3" applyNumberFormat="1" applyFont="1"/>
    <xf numFmtId="0" fontId="4" fillId="0" borderId="0" xfId="0" applyFont="1" applyAlignment="1"/>
    <xf numFmtId="0" fontId="5" fillId="0" borderId="0" xfId="0" applyFont="1" applyFill="1"/>
    <xf numFmtId="10" fontId="4" fillId="0" borderId="0" xfId="3" applyNumberFormat="1" applyFont="1" applyAlignment="1"/>
    <xf numFmtId="0" fontId="4" fillId="0" borderId="0" xfId="0" applyFont="1" applyFill="1" applyBorder="1"/>
    <xf numFmtId="166" fontId="4" fillId="0" borderId="0" xfId="0" applyNumberFormat="1" applyFont="1" applyFill="1" applyBorder="1"/>
    <xf numFmtId="0" fontId="4" fillId="0" borderId="0" xfId="0" applyFont="1" applyAlignment="1"/>
    <xf numFmtId="10" fontId="4" fillId="0" borderId="0" xfId="3" applyNumberFormat="1" applyFont="1" applyFill="1" applyBorder="1"/>
    <xf numFmtId="0" fontId="3" fillId="0" borderId="0" xfId="0" applyFont="1" applyAlignment="1"/>
    <xf numFmtId="166" fontId="6" fillId="0" borderId="4" xfId="2" applyNumberFormat="1" applyFont="1" applyFill="1" applyBorder="1"/>
    <xf numFmtId="0" fontId="11" fillId="0" borderId="0" xfId="0" applyFont="1" applyFill="1"/>
    <xf numFmtId="166" fontId="4" fillId="0" borderId="1" xfId="2" applyNumberFormat="1" applyFont="1" applyFill="1" applyBorder="1"/>
    <xf numFmtId="170" fontId="4" fillId="0" borderId="1" xfId="3" applyNumberFormat="1" applyFont="1" applyBorder="1"/>
    <xf numFmtId="166" fontId="4" fillId="0" borderId="0" xfId="2" applyNumberFormat="1" applyFont="1" applyAlignment="1">
      <alignment horizontal="center"/>
    </xf>
    <xf numFmtId="168" fontId="4" fillId="0" borderId="2" xfId="2" applyNumberFormat="1" applyFont="1" applyFill="1" applyBorder="1"/>
    <xf numFmtId="0" fontId="4" fillId="0" borderId="0" xfId="0" applyFont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/>
    <xf numFmtId="168" fontId="7" fillId="0" borderId="0" xfId="1" applyNumberFormat="1" applyFont="1" applyFill="1" applyAlignment="1" applyProtection="1">
      <alignment horizontal="left"/>
    </xf>
    <xf numFmtId="168" fontId="7" fillId="0" borderId="1" xfId="1" applyNumberFormat="1" applyFont="1" applyFill="1" applyBorder="1" applyAlignment="1" applyProtection="1">
      <alignment horizontal="left"/>
    </xf>
    <xf numFmtId="5" fontId="7" fillId="0" borderId="1" xfId="2" applyNumberFormat="1" applyFont="1" applyFill="1" applyBorder="1" applyAlignment="1" applyProtection="1">
      <alignment horizontal="right"/>
    </xf>
    <xf numFmtId="44" fontId="4" fillId="0" borderId="0" xfId="2" applyFont="1" applyFill="1" applyBorder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41" fontId="0" fillId="0" borderId="0" xfId="1" applyNumberFormat="1" applyFont="1" applyAlignment="1">
      <alignment horizontal="right"/>
    </xf>
    <xf numFmtId="168" fontId="0" fillId="0" borderId="0" xfId="1" applyNumberFormat="1" applyFont="1" applyAlignment="1">
      <alignment horizontal="right"/>
    </xf>
    <xf numFmtId="41" fontId="7" fillId="0" borderId="0" xfId="0" applyNumberFormat="1" applyFont="1" applyAlignment="1" applyProtection="1">
      <alignment horizontal="left"/>
    </xf>
    <xf numFmtId="166" fontId="4" fillId="0" borderId="1" xfId="0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/>
    <xf numFmtId="49" fontId="5" fillId="0" borderId="0" xfId="0" applyNumberFormat="1" applyFont="1" applyFill="1" applyAlignment="1">
      <alignment horizontal="center"/>
    </xf>
    <xf numFmtId="168" fontId="7" fillId="0" borderId="0" xfId="2" applyNumberFormat="1" applyFont="1" applyFill="1" applyBorder="1" applyAlignment="1" applyProtection="1">
      <alignment horizontal="right"/>
    </xf>
    <xf numFmtId="0" fontId="1" fillId="0" borderId="0" xfId="0" applyFont="1"/>
    <xf numFmtId="0" fontId="1" fillId="0" borderId="0" xfId="0" applyFont="1" applyAlignment="1"/>
    <xf numFmtId="0" fontId="4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66" fontId="7" fillId="0" borderId="5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16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/>
    <xf numFmtId="0" fontId="5" fillId="0" borderId="0" xfId="0" applyFont="1" applyAlignment="1"/>
    <xf numFmtId="168" fontId="4" fillId="0" borderId="0" xfId="1" applyNumberFormat="1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6" fontId="5" fillId="0" borderId="4" xfId="0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/>
    <xf numFmtId="166" fontId="5" fillId="0" borderId="0" xfId="2" applyNumberFormat="1" applyFont="1" applyFill="1" applyBorder="1" applyAlignment="1"/>
    <xf numFmtId="172" fontId="4" fillId="0" borderId="0" xfId="0" quotePrefix="1" applyNumberFormat="1" applyFont="1" applyBorder="1" applyAlignment="1">
      <alignment horizontal="left"/>
    </xf>
    <xf numFmtId="172" fontId="4" fillId="0" borderId="0" xfId="0" applyNumberFormat="1" applyFont="1" applyBorder="1"/>
    <xf numFmtId="172" fontId="0" fillId="0" borderId="0" xfId="0" applyNumberFormat="1" applyBorder="1"/>
    <xf numFmtId="0" fontId="5" fillId="0" borderId="0" xfId="0" applyFont="1" applyBorder="1" applyAlignment="1"/>
    <xf numFmtId="0" fontId="4" fillId="0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Fill="1" applyAlignment="1"/>
    <xf numFmtId="0" fontId="4" fillId="0" borderId="0" xfId="0" applyFont="1" applyAlignment="1"/>
    <xf numFmtId="168" fontId="4" fillId="0" borderId="3" xfId="1" applyNumberFormat="1" applyFont="1" applyFill="1" applyBorder="1"/>
    <xf numFmtId="10" fontId="4" fillId="0" borderId="1" xfId="3" applyNumberFormat="1" applyFont="1" applyFill="1" applyBorder="1"/>
    <xf numFmtId="168" fontId="4" fillId="0" borderId="0" xfId="1" applyNumberFormat="1" applyFont="1" applyFill="1" applyAlignment="1">
      <alignment horizontal="right"/>
    </xf>
    <xf numFmtId="168" fontId="5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10" fontId="4" fillId="0" borderId="0" xfId="0" applyNumberFormat="1" applyFont="1" applyFill="1"/>
    <xf numFmtId="166" fontId="4" fillId="0" borderId="0" xfId="2" applyNumberFormat="1" applyFont="1" applyFill="1" applyAlignment="1">
      <alignment vertical="center"/>
    </xf>
    <xf numFmtId="166" fontId="7" fillId="0" borderId="0" xfId="2" applyNumberFormat="1" applyFont="1" applyFill="1" applyAlignment="1">
      <alignment vertical="center"/>
    </xf>
    <xf numFmtId="2" fontId="3" fillId="0" borderId="0" xfId="0" applyNumberFormat="1" applyFont="1" applyBorder="1" applyAlignment="1"/>
    <xf numFmtId="49" fontId="5" fillId="0" borderId="0" xfId="0" applyNumberFormat="1" applyFont="1" applyBorder="1" applyAlignment="1"/>
    <xf numFmtId="2" fontId="5" fillId="0" borderId="0" xfId="0" applyNumberFormat="1" applyFont="1" applyBorder="1" applyAlignment="1"/>
    <xf numFmtId="166" fontId="5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/>
    <xf numFmtId="41" fontId="1" fillId="0" borderId="0" xfId="1" applyNumberFormat="1" applyFont="1" applyAlignment="1">
      <alignment horizontal="right"/>
    </xf>
    <xf numFmtId="37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8" fontId="10" fillId="0" borderId="0" xfId="1" applyNumberFormat="1" applyFont="1" applyBorder="1"/>
    <xf numFmtId="166" fontId="6" fillId="0" borderId="0" xfId="2" applyNumberFormat="1" applyFont="1" applyFill="1" applyBorder="1"/>
    <xf numFmtId="0" fontId="6" fillId="0" borderId="0" xfId="0" applyFont="1" applyBorder="1"/>
    <xf numFmtId="5" fontId="7" fillId="0" borderId="4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9" fontId="4" fillId="0" borderId="0" xfId="3" applyFont="1"/>
    <xf numFmtId="43" fontId="6" fillId="0" borderId="0" xfId="1" applyFont="1" applyFill="1" applyBorder="1"/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3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6" fontId="5" fillId="0" borderId="0" xfId="0" applyNumberFormat="1" applyFont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5" fontId="4" fillId="0" borderId="0" xfId="2" applyNumberFormat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167" fontId="5" fillId="0" borderId="4" xfId="0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quotePrefix="1" applyFont="1" applyFill="1" applyBorder="1" applyAlignment="1"/>
    <xf numFmtId="173" fontId="4" fillId="0" borderId="0" xfId="1" applyNumberFormat="1" applyFont="1" applyBorder="1"/>
    <xf numFmtId="173" fontId="4" fillId="0" borderId="0" xfId="1" applyNumberFormat="1" applyFont="1" applyFill="1" applyBorder="1"/>
    <xf numFmtId="166" fontId="7" fillId="0" borderId="1" xfId="2" applyNumberFormat="1" applyFont="1" applyFill="1" applyBorder="1"/>
    <xf numFmtId="166" fontId="4" fillId="0" borderId="0" xfId="1" applyNumberFormat="1" applyFont="1" applyFill="1"/>
    <xf numFmtId="166" fontId="4" fillId="0" borderId="0" xfId="1" applyNumberFormat="1" applyFont="1" applyFill="1" applyBorder="1"/>
    <xf numFmtId="166" fontId="4" fillId="0" borderId="1" xfId="1" applyNumberFormat="1" applyFont="1" applyFill="1" applyBorder="1"/>
    <xf numFmtId="0" fontId="4" fillId="0" borderId="0" xfId="0" applyFont="1" applyAlignment="1"/>
    <xf numFmtId="168" fontId="18" fillId="0" borderId="0" xfId="1" applyNumberFormat="1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8" fillId="0" borderId="0" xfId="0" applyFont="1"/>
    <xf numFmtId="0" fontId="18" fillId="0" borderId="0" xfId="0" applyFont="1" applyAlignment="1"/>
    <xf numFmtId="0" fontId="4" fillId="0" borderId="0" xfId="0" applyFont="1" applyFill="1" applyAlignment="1">
      <alignment horizontal="left"/>
    </xf>
    <xf numFmtId="168" fontId="0" fillId="0" borderId="0" xfId="1" applyNumberFormat="1" applyFont="1" applyAlignment="1"/>
    <xf numFmtId="0" fontId="4" fillId="0" borderId="1" xfId="0" applyFont="1" applyBorder="1" applyAlignment="1">
      <alignment horizontal="center"/>
    </xf>
    <xf numFmtId="168" fontId="4" fillId="0" borderId="0" xfId="0" applyNumberFormat="1" applyFont="1"/>
    <xf numFmtId="168" fontId="5" fillId="2" borderId="6" xfId="0" applyNumberFormat="1" applyFont="1" applyFill="1" applyBorder="1"/>
    <xf numFmtId="10" fontId="6" fillId="0" borderId="0" xfId="3" applyNumberFormat="1" applyFont="1" applyFill="1" applyBorder="1"/>
    <xf numFmtId="0" fontId="18" fillId="0" borderId="0" xfId="0" applyFont="1" applyFill="1" applyAlignment="1"/>
    <xf numFmtId="168" fontId="4" fillId="0" borderId="1" xfId="1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44" fontId="1" fillId="0" borderId="0" xfId="2" applyFont="1" applyFill="1"/>
    <xf numFmtId="0" fontId="4" fillId="0" borderId="0" xfId="0" applyFont="1" applyAlignment="1"/>
    <xf numFmtId="0" fontId="1" fillId="0" borderId="0" xfId="0" applyFont="1" applyFill="1" applyBorder="1" applyAlignment="1">
      <alignment vertical="center"/>
    </xf>
    <xf numFmtId="166" fontId="0" fillId="0" borderId="0" xfId="0" applyNumberFormat="1" applyBorder="1"/>
    <xf numFmtId="0" fontId="4" fillId="0" borderId="0" xfId="0" applyFont="1" applyFill="1" applyAlignment="1">
      <alignment horizontal="left"/>
    </xf>
    <xf numFmtId="44" fontId="6" fillId="0" borderId="0" xfId="0" applyNumberFormat="1" applyFont="1" applyBorder="1"/>
    <xf numFmtId="168" fontId="4" fillId="0" borderId="0" xfId="0" applyNumberFormat="1" applyFont="1" applyFill="1"/>
    <xf numFmtId="168" fontId="0" fillId="0" borderId="0" xfId="0" applyNumberFormat="1"/>
    <xf numFmtId="166" fontId="4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168" fontId="0" fillId="0" borderId="0" xfId="0" applyNumberFormat="1" applyBorder="1"/>
    <xf numFmtId="0" fontId="0" fillId="0" borderId="0" xfId="0" applyBorder="1" applyAlignment="1"/>
    <xf numFmtId="168" fontId="4" fillId="0" borderId="0" xfId="1" applyNumberFormat="1" applyFont="1" applyBorder="1" applyAlignment="1">
      <alignment vertical="center"/>
    </xf>
    <xf numFmtId="0" fontId="11" fillId="0" borderId="0" xfId="0" applyFont="1" applyBorder="1" applyAlignment="1"/>
    <xf numFmtId="170" fontId="4" fillId="0" borderId="1" xfId="3" applyNumberFormat="1" applyFont="1" applyFill="1" applyBorder="1"/>
    <xf numFmtId="167" fontId="7" fillId="0" borderId="1" xfId="0" applyNumberFormat="1" applyFont="1" applyFill="1" applyBorder="1"/>
    <xf numFmtId="166" fontId="4" fillId="0" borderId="0" xfId="2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7" fontId="4" fillId="0" borderId="1" xfId="0" applyNumberFormat="1" applyFont="1" applyFill="1" applyBorder="1"/>
    <xf numFmtId="0" fontId="4" fillId="0" borderId="0" xfId="0" quotePrefix="1" applyFont="1" applyFill="1" applyAlignment="1">
      <alignment horizontal="left"/>
    </xf>
    <xf numFmtId="168" fontId="4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168" fontId="4" fillId="0" borderId="0" xfId="2" applyNumberFormat="1" applyFont="1" applyFill="1"/>
    <xf numFmtId="168" fontId="4" fillId="0" borderId="1" xfId="1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10" fontId="7" fillId="0" borderId="0" xfId="3" applyNumberFormat="1" applyFont="1" applyFill="1" applyBorder="1"/>
    <xf numFmtId="10" fontId="7" fillId="0" borderId="1" xfId="3" applyNumberFormat="1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9" fontId="9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quotePrefix="1" applyFont="1" applyFill="1" applyAlignment="1">
      <alignment horizontal="left"/>
    </xf>
    <xf numFmtId="165" fontId="5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6" fontId="6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2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46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1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49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externalLink" Target="externalLinks/externalLink1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externalLink" Target="externalLinks/externalLink13.xml"/><Relationship Id="rId48" Type="http://schemas.openxmlformats.org/officeDocument/2006/relationships/externalLink" Target="externalLinks/externalLink1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%20-%20UPDATE-1%20-%20LL%20SUMMAR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0%20-%20UPDATE-1%20-%20FERC%20INCOME%20STATEMEN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1%20-%20UPDATE-1%20-%20WAGE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2%20-%20UPDATE-1%20-%20PENSION%20&amp;%20BENEFIT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3%20-%20UPDATE-1%20-%20ASSESSME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4%20-%20UPDATE-1%20-%20BGSS%20INCENTIVE%20MARGI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5%20-%20UPDATE-1%20-%20OUTSIDE%20SERVIC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6%20-%20UPDATE-1%20-%20SAVEGREEN%20MARGI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7%20-%20UPDATE-1%20-%20TAXES%20OTHER%20THAN%20INCOM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19%20-%20UPDATE-1%20-%20ANNUAL%20REVIEW%20OF%20COMMERCIAL%20CUSTOMER%20USAG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20%20-%20UPDATE-1%20-%20SAFE%20II-NJRI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2%20-%20UPDATE-1%20-%20EXCESS%20DFIT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21%20-%20UPDATE-1%20-%20CIP%20NON-WEATH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22%20-%20UPDATE-1%20-%20SAFE%20II-NJRISE%20CLOSEOU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3%20-%20UPDATE-1%20-%20CONSOLIDATED%20TAX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4%20-%20UPDATE-1%20-%20LONG%20TERM%20DEBT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7%20-%20UPDATE-1%20-%20FERC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5%20-%20UPDATE-1%20-%20UNCOLLECTIBLE%20R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6%20-%20UPDATE-1%20-%20DEPRECIABLE%20PLANT-DEPRECIATI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8%20-%20UPDATE-1%20-%20INVENTO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WORKPAPER%20-%20JMC-9%20-%20UPDATE-1%20-%20DF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t Assets-Net Liabilities"/>
    </sheetNames>
    <sheetDataSet>
      <sheetData sheetId="0">
        <row r="19">
          <cell r="G19">
            <v>136573.21979870083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FERC IS"/>
    </sheetNames>
    <sheetDataSet>
      <sheetData sheetId="0" refreshError="1"/>
      <sheetData sheetId="1">
        <row r="21">
          <cell r="U21">
            <v>740632194.60284197</v>
          </cell>
        </row>
        <row r="103">
          <cell r="U103">
            <v>447929981.19872785</v>
          </cell>
        </row>
        <row r="138">
          <cell r="U138">
            <v>17227046.154207468</v>
          </cell>
        </row>
        <row r="143">
          <cell r="U143">
            <v>78592673.950000003</v>
          </cell>
        </row>
        <row r="150">
          <cell r="U150">
            <v>22137532.776240002</v>
          </cell>
        </row>
        <row r="153">
          <cell r="U153">
            <v>48805532.196029536</v>
          </cell>
        </row>
        <row r="190">
          <cell r="U190">
            <v>34558528.913109981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"/>
      <sheetName val="INCENTIVE COMPENSATION"/>
      <sheetName val="WORKPAPER - JMC-11 - UPDATE-1 -"/>
    </sheetNames>
    <sheetDataSet>
      <sheetData sheetId="0">
        <row r="30">
          <cell r="U30">
            <v>824388.63374738139</v>
          </cell>
          <cell r="X30">
            <v>2687830.4479439706</v>
          </cell>
        </row>
      </sheetData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&amp; Benefits"/>
    </sheetNames>
    <sheetDataSet>
      <sheetData sheetId="0">
        <row r="30">
          <cell r="N30">
            <v>11043566.940000001</v>
          </cell>
          <cell r="AB30">
            <v>11969196</v>
          </cell>
        </row>
        <row r="31">
          <cell r="N31">
            <v>8748814.5599000994</v>
          </cell>
        </row>
        <row r="32">
          <cell r="N32">
            <v>557028.25</v>
          </cell>
          <cell r="AB32">
            <v>618468</v>
          </cell>
        </row>
        <row r="33">
          <cell r="N33">
            <v>8246221.4999000002</v>
          </cell>
        </row>
        <row r="34">
          <cell r="N34">
            <v>-8886325.3235802185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astate"/>
      <sheetName val="page 301-A"/>
      <sheetName val="301a-2019"/>
      <sheetName val="114-115 2019"/>
      <sheetName val="301A"/>
      <sheetName val="114-115"/>
      <sheetName val="page 114-115"/>
    </sheetNames>
    <sheetDataSet>
      <sheetData sheetId="0">
        <row r="12">
          <cell r="B12">
            <v>700890178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SS INCENTIVES"/>
      <sheetName val="WORKPAPER - JMC-14 - UPDATE-1 -"/>
    </sheetNames>
    <sheetDataSet>
      <sheetData sheetId="0">
        <row r="8">
          <cell r="N8">
            <v>12373793.98835789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side Services"/>
      <sheetName val="WORKPAPER - JMC-15 - UPDATE-1 -"/>
    </sheetNames>
    <sheetDataSet>
      <sheetData sheetId="0">
        <row r="9">
          <cell r="C9">
            <v>850000</v>
          </cell>
        </row>
        <row r="17">
          <cell r="C17">
            <v>360000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EGREEN"/>
      <sheetName val="WORKPAPER - JMC-16 - UPDATE-1 -"/>
    </sheetNames>
    <sheetDataSet>
      <sheetData sheetId="0">
        <row r="5">
          <cell r="N5">
            <v>6452472.3568610279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Other Taxes"/>
    </sheetNames>
    <sheetDataSet>
      <sheetData sheetId="0"/>
      <sheetData sheetId="1">
        <row r="10">
          <cell r="N10">
            <v>803618.82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C Schedule"/>
      <sheetName val="WORKPAPER - JMC-19 - UPDATE-1 -"/>
    </sheetNames>
    <sheetDataSet>
      <sheetData sheetId="0">
        <row r="50">
          <cell r="N50">
            <v>-1297612.2099999995</v>
          </cell>
        </row>
        <row r="55">
          <cell r="N55">
            <v>141896.79999999996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2020 revised"/>
    </sheetNames>
    <sheetDataSet>
      <sheetData sheetId="0">
        <row r="117">
          <cell r="I117">
            <v>287113.54035271332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DFIT"/>
      <sheetName val="WORKPAPER - JMC-2 - UPDATE-1 - "/>
    </sheetNames>
    <sheetDataSet>
      <sheetData sheetId="0">
        <row r="44">
          <cell r="O44">
            <v>-137053.18191662358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 Adjustment"/>
      <sheetName val="Group I"/>
      <sheetName val="Group I detail"/>
      <sheetName val="Group II"/>
      <sheetName val="Group II detail"/>
      <sheetName val="Group III"/>
      <sheetName val="Group III detail"/>
      <sheetName val="Group IV"/>
      <sheetName val="Group IV detail"/>
      <sheetName val="weather"/>
      <sheetName val="WORKPAPER - JMC-21 - UPDATE-1 -"/>
    </sheetNames>
    <sheetDataSet>
      <sheetData sheetId="0">
        <row r="56">
          <cell r="G56">
            <v>-560629.22648887802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G9">
            <v>9706476.6099999994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U - CONFIDENTIAL"/>
    </sheetNames>
    <sheetDataSet>
      <sheetData sheetId="0">
        <row r="44">
          <cell r="K44">
            <v>1405296.1280071335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31 2021"/>
      <sheetName val="August 31 2021"/>
      <sheetName val="LTD August"/>
    </sheetNames>
    <sheetDataSet>
      <sheetData sheetId="0" refreshError="1"/>
      <sheetData sheetId="1">
        <row r="70">
          <cell r="E70">
            <v>1184614940</v>
          </cell>
          <cell r="K70">
            <v>3.5721795918650164E-2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ummary"/>
      <sheetName val="schedule"/>
    </sheetNames>
    <sheetDataSet>
      <sheetData sheetId="0">
        <row r="90">
          <cell r="AT90">
            <v>15917399.596153846</v>
          </cell>
        </row>
        <row r="95">
          <cell r="AT95">
            <v>76288.815384615387</v>
          </cell>
        </row>
        <row r="126">
          <cell r="AT126">
            <v>128144.10916666633</v>
          </cell>
        </row>
        <row r="128">
          <cell r="AT128">
            <v>1977411.6892307682</v>
          </cell>
        </row>
        <row r="130">
          <cell r="AT130">
            <v>557441.77692307672</v>
          </cell>
        </row>
        <row r="132">
          <cell r="AT132">
            <v>28000</v>
          </cell>
        </row>
        <row r="134">
          <cell r="AT134">
            <v>47078.34692307697</v>
          </cell>
        </row>
        <row r="137">
          <cell r="AT137">
            <v>-176616.87583333312</v>
          </cell>
        </row>
        <row r="138">
          <cell r="AT138">
            <v>2123665.4915384585</v>
          </cell>
        </row>
        <row r="400">
          <cell r="AT400">
            <v>-50865.165000000001</v>
          </cell>
        </row>
        <row r="401">
          <cell r="AT401">
            <v>8216306.920769223</v>
          </cell>
        </row>
        <row r="492">
          <cell r="AT492">
            <v>-2560523.2484615389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ercentages"/>
      <sheetName val="Summary (2)"/>
      <sheetName val="Percentages (2)"/>
    </sheetNames>
    <sheetDataSet>
      <sheetData sheetId="0">
        <row r="145">
          <cell r="F145">
            <v>9.4170506464005231E-3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 PLANT"/>
      <sheetName val="Additional Projects"/>
      <sheetName val="Plant"/>
      <sheetName val="Additions"/>
      <sheetName val="Sheet1"/>
      <sheetName val="Retirements"/>
      <sheetName val="Depreciation Charges"/>
      <sheetName val="Cost of Removal"/>
      <sheetName val="Accumulative Reserve"/>
      <sheetName val="DFIT"/>
      <sheetName val="Other"/>
    </sheetNames>
    <sheetDataSet>
      <sheetData sheetId="0"/>
      <sheetData sheetId="1"/>
      <sheetData sheetId="2">
        <row r="68">
          <cell r="H68">
            <v>2663670440.8620005</v>
          </cell>
        </row>
        <row r="83">
          <cell r="G83">
            <v>38409393</v>
          </cell>
        </row>
      </sheetData>
      <sheetData sheetId="3">
        <row r="20">
          <cell r="CD20">
            <v>0</v>
          </cell>
        </row>
        <row r="32">
          <cell r="CD32">
            <v>25404.240000000002</v>
          </cell>
        </row>
        <row r="45">
          <cell r="CD45">
            <v>302391993.87</v>
          </cell>
        </row>
        <row r="70">
          <cell r="CD70">
            <v>234468797.05000001</v>
          </cell>
        </row>
        <row r="91">
          <cell r="CD91">
            <v>59408999.180999994</v>
          </cell>
        </row>
        <row r="93">
          <cell r="DI93">
            <v>90560653.999260098</v>
          </cell>
          <cell r="DK93">
            <v>117657152.46488248</v>
          </cell>
        </row>
      </sheetData>
      <sheetData sheetId="4"/>
      <sheetData sheetId="5">
        <row r="19">
          <cell r="CA19">
            <v>0</v>
          </cell>
        </row>
        <row r="31">
          <cell r="CA31">
            <v>0</v>
          </cell>
        </row>
        <row r="44">
          <cell r="CA44">
            <v>763547.76</v>
          </cell>
        </row>
        <row r="68">
          <cell r="CA68">
            <v>7584859.1700000009</v>
          </cell>
        </row>
        <row r="89">
          <cell r="CA89">
            <v>0</v>
          </cell>
        </row>
      </sheetData>
      <sheetData sheetId="6">
        <row r="19">
          <cell r="CA19">
            <v>0</v>
          </cell>
        </row>
        <row r="31">
          <cell r="CA31">
            <v>1312238.5133333334</v>
          </cell>
        </row>
        <row r="44">
          <cell r="CA44">
            <v>9175543.291666666</v>
          </cell>
        </row>
        <row r="68">
          <cell r="CA68">
            <v>60255775.648243159</v>
          </cell>
        </row>
        <row r="87">
          <cell r="CA87">
            <v>8272771.0199999996</v>
          </cell>
        </row>
      </sheetData>
      <sheetData sheetId="7">
        <row r="86">
          <cell r="BY86">
            <v>56731505.030000001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orage"/>
      <sheetName val="LNG"/>
      <sheetName val="BGSS WACOG"/>
    </sheetNames>
    <sheetDataSet>
      <sheetData sheetId="0">
        <row r="20">
          <cell r="N20">
            <v>80828.557943143052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C - 10 - DFIT"/>
      <sheetName val="Work Sheet"/>
      <sheetName val="SEP 2018"/>
      <sheetName val="DEC 2017"/>
      <sheetName val="DEC 2016"/>
      <sheetName val="DIFF DEC 17vs16"/>
      <sheetName val="AUG 2019"/>
      <sheetName val="Assum Sheet"/>
    </sheetNames>
    <sheetDataSet>
      <sheetData sheetId="0">
        <row r="11">
          <cell r="F11">
            <v>-231051.29146469999</v>
          </cell>
        </row>
        <row r="15">
          <cell r="F15">
            <v>-54761.168779799991</v>
          </cell>
        </row>
        <row r="19">
          <cell r="F19">
            <v>65591.253111299986</v>
          </cell>
        </row>
        <row r="22">
          <cell r="F22">
            <v>1651.7353838999998</v>
          </cell>
        </row>
        <row r="26">
          <cell r="F26">
            <v>1851.7759742999999</v>
          </cell>
        </row>
        <row r="38">
          <cell r="F38">
            <v>-74939.066124339501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3:N33"/>
  <sheetViews>
    <sheetView tabSelected="1" topLeftCell="A13" zoomScaleNormal="100" workbookViewId="0">
      <selection activeCell="E22" sqref="E22"/>
    </sheetView>
  </sheetViews>
  <sheetFormatPr defaultRowHeight="16.5" x14ac:dyDescent="0.25"/>
  <cols>
    <col min="1" max="1" width="44.85546875" style="2" bestFit="1" customWidth="1"/>
    <col min="2" max="2" width="8.28515625" style="2" customWidth="1"/>
    <col min="3" max="3" width="5.28515625" style="2" customWidth="1"/>
    <col min="4" max="4" width="7.85546875" style="2" customWidth="1"/>
    <col min="5" max="5" width="20.140625" style="2" customWidth="1"/>
    <col min="6" max="6" width="3.5703125" style="2" customWidth="1"/>
    <col min="7" max="7" width="18.28515625" style="2" customWidth="1"/>
    <col min="8" max="8" width="21.7109375" style="2" bestFit="1" customWidth="1"/>
    <col min="9" max="10" width="14.85546875" style="2" bestFit="1" customWidth="1"/>
    <col min="11" max="11" width="12.85546875" style="2" customWidth="1"/>
    <col min="12" max="12" width="9.140625" style="2"/>
    <col min="13" max="13" width="12.7109375" style="2" bestFit="1" customWidth="1"/>
    <col min="14" max="16384" width="9.140625" style="2"/>
  </cols>
  <sheetData>
    <row r="3" spans="1:12" x14ac:dyDescent="0.25">
      <c r="A3" s="397" t="s">
        <v>109</v>
      </c>
      <c r="B3" s="397"/>
      <c r="C3" s="397"/>
      <c r="D3" s="397"/>
      <c r="E3" s="397"/>
      <c r="F3" s="397"/>
      <c r="G3" s="226"/>
      <c r="H3" s="226"/>
    </row>
    <row r="5" spans="1:12" x14ac:dyDescent="0.25">
      <c r="A5" s="397" t="s">
        <v>90</v>
      </c>
      <c r="B5" s="397"/>
      <c r="C5" s="397"/>
      <c r="D5" s="397"/>
      <c r="E5" s="397"/>
      <c r="F5" s="397"/>
      <c r="G5" s="226"/>
      <c r="H5" s="226"/>
    </row>
    <row r="6" spans="1:12" x14ac:dyDescent="0.25">
      <c r="A6" s="398" t="s">
        <v>50</v>
      </c>
      <c r="B6" s="398"/>
      <c r="C6" s="398"/>
      <c r="D6" s="398"/>
      <c r="E6" s="398"/>
      <c r="F6" s="398"/>
      <c r="G6" s="50"/>
      <c r="H6" s="50"/>
      <c r="I6" s="63"/>
      <c r="J6" s="63"/>
      <c r="K6" s="63"/>
    </row>
    <row r="7" spans="1:12" x14ac:dyDescent="0.25">
      <c r="A7" s="267"/>
      <c r="B7" s="267"/>
      <c r="C7" s="267"/>
      <c r="D7" s="267"/>
      <c r="E7" s="267"/>
      <c r="F7" s="267"/>
      <c r="G7" s="147"/>
      <c r="H7" s="147"/>
      <c r="I7" s="63"/>
      <c r="J7" s="63"/>
      <c r="K7" s="63"/>
    </row>
    <row r="8" spans="1:12" x14ac:dyDescent="0.25">
      <c r="E8" s="268"/>
      <c r="G8" s="296"/>
      <c r="H8" s="296"/>
      <c r="I8" s="63"/>
      <c r="J8" s="63"/>
    </row>
    <row r="9" spans="1:12" ht="16.5" customHeight="1" x14ac:dyDescent="0.25">
      <c r="A9" s="3"/>
      <c r="B9" s="267"/>
      <c r="C9" s="267"/>
      <c r="D9" s="3"/>
      <c r="G9" s="281"/>
      <c r="H9" s="281"/>
      <c r="I9" s="63"/>
      <c r="J9" s="63"/>
      <c r="K9" s="63"/>
      <c r="L9" s="63"/>
    </row>
    <row r="10" spans="1:12" x14ac:dyDescent="0.25">
      <c r="A10" s="2" t="s">
        <v>0</v>
      </c>
      <c r="E10" s="22">
        <f>'JMC - 2 (Rate Base)'!E28</f>
        <v>2540201.3328118362</v>
      </c>
      <c r="G10" s="37"/>
      <c r="H10" s="37"/>
      <c r="I10" s="63"/>
      <c r="J10" s="63"/>
      <c r="K10" s="37"/>
      <c r="L10" s="63"/>
    </row>
    <row r="11" spans="1:12" x14ac:dyDescent="0.25">
      <c r="E11" s="4"/>
      <c r="G11" s="123"/>
      <c r="H11" s="123"/>
      <c r="I11" s="63"/>
      <c r="J11" s="63"/>
      <c r="K11" s="123"/>
      <c r="L11" s="63"/>
    </row>
    <row r="12" spans="1:12" x14ac:dyDescent="0.25">
      <c r="A12" s="2" t="s">
        <v>1</v>
      </c>
      <c r="E12" s="55">
        <f>'JMC - 3 (WACC)'!I16</f>
        <v>7.4663210107893244E-2</v>
      </c>
      <c r="G12" s="126"/>
      <c r="H12" s="126"/>
      <c r="I12" s="63"/>
      <c r="J12" s="63"/>
      <c r="K12" s="67"/>
      <c r="L12" s="126"/>
    </row>
    <row r="13" spans="1:12" x14ac:dyDescent="0.25">
      <c r="E13" s="4"/>
      <c r="G13" s="123"/>
      <c r="H13" s="123"/>
      <c r="I13" s="63"/>
      <c r="J13" s="63"/>
      <c r="K13" s="123"/>
      <c r="L13" s="63"/>
    </row>
    <row r="14" spans="1:12" x14ac:dyDescent="0.25">
      <c r="A14" s="395" t="s">
        <v>2</v>
      </c>
      <c r="B14" s="395"/>
      <c r="C14" s="270"/>
      <c r="D14" s="270"/>
      <c r="E14" s="22">
        <f>$E$10*$E$12</f>
        <v>189659.58582808057</v>
      </c>
      <c r="G14" s="37"/>
      <c r="H14" s="37"/>
      <c r="I14" s="63"/>
      <c r="J14" s="63"/>
      <c r="K14" s="37"/>
      <c r="L14" s="63"/>
    </row>
    <row r="15" spans="1:12" x14ac:dyDescent="0.25">
      <c r="E15" s="66"/>
      <c r="G15" s="136"/>
      <c r="H15" s="136"/>
      <c r="I15" s="63"/>
      <c r="J15" s="63"/>
      <c r="K15" s="136"/>
      <c r="L15" s="63"/>
    </row>
    <row r="16" spans="1:12" x14ac:dyDescent="0.25">
      <c r="A16" s="2" t="s">
        <v>189</v>
      </c>
      <c r="E16" s="346">
        <f>'JMC - 13 (Operating Income)'!H50</f>
        <v>73258.886659099531</v>
      </c>
      <c r="G16" s="316"/>
      <c r="H16" s="316"/>
      <c r="I16" s="63"/>
      <c r="J16" s="63"/>
      <c r="K16" s="97"/>
      <c r="L16" s="63"/>
    </row>
    <row r="17" spans="1:14" x14ac:dyDescent="0.25">
      <c r="E17" s="66"/>
      <c r="G17" s="136"/>
      <c r="H17" s="136"/>
      <c r="I17" s="63"/>
      <c r="J17" s="63"/>
      <c r="K17" s="136"/>
      <c r="L17" s="63"/>
    </row>
    <row r="18" spans="1:14" x14ac:dyDescent="0.25">
      <c r="A18" s="2" t="s">
        <v>48</v>
      </c>
      <c r="E18" s="22">
        <f>E14-E16</f>
        <v>116400.69916898104</v>
      </c>
      <c r="G18" s="37"/>
      <c r="H18" s="37"/>
      <c r="I18" s="63"/>
      <c r="J18" s="63"/>
      <c r="K18" s="37"/>
      <c r="L18" s="63"/>
    </row>
    <row r="19" spans="1:14" x14ac:dyDescent="0.25">
      <c r="E19" s="4"/>
      <c r="G19" s="123"/>
      <c r="H19" s="123"/>
      <c r="I19" s="63"/>
      <c r="J19" s="63"/>
      <c r="K19" s="123"/>
      <c r="L19" s="63"/>
    </row>
    <row r="20" spans="1:14" x14ac:dyDescent="0.25">
      <c r="A20" s="2" t="s">
        <v>3</v>
      </c>
      <c r="E20" s="36">
        <f>'JMC - 4 (Rev. Factor)'!F25</f>
        <v>1.4080999999999999</v>
      </c>
      <c r="G20" s="124"/>
      <c r="H20" s="124"/>
      <c r="I20" s="63"/>
      <c r="J20" s="63"/>
      <c r="K20" s="124"/>
      <c r="L20" s="63"/>
    </row>
    <row r="21" spans="1:14" x14ac:dyDescent="0.25">
      <c r="E21" s="4"/>
      <c r="G21" s="123"/>
      <c r="H21" s="123"/>
      <c r="I21" s="63"/>
      <c r="J21" s="63"/>
      <c r="K21" s="123"/>
      <c r="L21" s="63"/>
    </row>
    <row r="22" spans="1:14" s="7" customFormat="1" ht="17.25" thickBot="1" x14ac:dyDescent="0.3">
      <c r="A22" s="396" t="s">
        <v>91</v>
      </c>
      <c r="B22" s="396"/>
      <c r="C22" s="54"/>
      <c r="D22" s="54"/>
      <c r="E22" s="227">
        <f>E18*E20</f>
        <v>163903.82449984219</v>
      </c>
      <c r="G22" s="317"/>
      <c r="H22" s="323"/>
      <c r="I22" s="370"/>
      <c r="J22" s="318"/>
      <c r="M22" s="216"/>
      <c r="N22" s="14"/>
    </row>
    <row r="23" spans="1:14" s="7" customFormat="1" ht="17.25" thickTop="1" x14ac:dyDescent="0.25">
      <c r="A23" s="327"/>
      <c r="B23" s="327"/>
      <c r="C23" s="54"/>
      <c r="D23" s="54"/>
      <c r="E23" s="317"/>
      <c r="G23" s="317"/>
      <c r="H23" s="323"/>
      <c r="I23" s="370"/>
      <c r="J23" s="318"/>
      <c r="M23" s="216"/>
      <c r="N23" s="14"/>
    </row>
    <row r="24" spans="1:14" s="7" customFormat="1" x14ac:dyDescent="0.25">
      <c r="A24" s="331"/>
      <c r="B24" s="331"/>
      <c r="C24" s="54"/>
      <c r="D24" s="54"/>
      <c r="E24" s="317"/>
      <c r="G24" s="317"/>
      <c r="H24" s="361"/>
      <c r="I24" s="318"/>
      <c r="J24" s="318"/>
      <c r="M24" s="216"/>
      <c r="N24" s="14"/>
    </row>
    <row r="25" spans="1:14" s="7" customFormat="1" x14ac:dyDescent="0.25">
      <c r="A25" s="328"/>
      <c r="B25" s="328"/>
      <c r="C25" s="54"/>
      <c r="D25" s="54"/>
      <c r="E25" s="317"/>
      <c r="G25" s="317"/>
      <c r="H25" s="323"/>
      <c r="I25" s="318"/>
      <c r="J25" s="318"/>
      <c r="M25" s="216"/>
      <c r="N25" s="14"/>
    </row>
    <row r="26" spans="1:14" s="31" customFormat="1" x14ac:dyDescent="0.25">
      <c r="A26" s="31" t="s">
        <v>236</v>
      </c>
      <c r="E26" s="210"/>
    </row>
    <row r="27" spans="1:14" s="31" customFormat="1" x14ac:dyDescent="0.25">
      <c r="A27" s="326" t="s">
        <v>234</v>
      </c>
      <c r="E27" s="210"/>
    </row>
    <row r="28" spans="1:14" s="31" customFormat="1" ht="19.5" x14ac:dyDescent="0.25">
      <c r="A28" s="324" t="s">
        <v>231</v>
      </c>
      <c r="E28" s="185">
        <f>-('JMC - 27 (Revenue Adjust - #14)'!G14*(1-0.2811))*E20</f>
        <v>-567.51548573447121</v>
      </c>
      <c r="F28" s="325"/>
    </row>
    <row r="29" spans="1:14" s="31" customFormat="1" ht="19.5" x14ac:dyDescent="0.25">
      <c r="A29" s="329"/>
      <c r="E29" s="141"/>
      <c r="F29" s="325"/>
    </row>
    <row r="30" spans="1:14" ht="17.25" thickBot="1" x14ac:dyDescent="0.3">
      <c r="A30" s="2" t="s">
        <v>233</v>
      </c>
      <c r="E30" s="227">
        <f>SUM(E22:E28)</f>
        <v>163336.30901410771</v>
      </c>
      <c r="G30" s="330"/>
      <c r="H30" s="323"/>
    </row>
    <row r="31" spans="1:14" ht="17.25" thickTop="1" x14ac:dyDescent="0.25"/>
    <row r="32" spans="1:14" x14ac:dyDescent="0.25">
      <c r="A32" s="9"/>
    </row>
    <row r="33" spans="1:1" x14ac:dyDescent="0.25">
      <c r="A33" s="333"/>
    </row>
  </sheetData>
  <mergeCells count="5">
    <mergeCell ref="A14:B14"/>
    <mergeCell ref="A22:B22"/>
    <mergeCell ref="A5:F5"/>
    <mergeCell ref="A3:F3"/>
    <mergeCell ref="A6:F6"/>
  </mergeCells>
  <phoneticPr fontId="2" type="noConversion"/>
  <pageMargins left="1" right="0.25" top="1.25" bottom="0.25" header="0.5" footer="0.5"/>
  <pageSetup orientation="portrait" r:id="rId1"/>
  <headerFooter alignWithMargins="0">
    <oddHeader xml:space="preserve">&amp;R&amp;"Arial,Bold"&amp;14EXHIBIT P-3
SCHEDULE JMC-1
UPDATE-1  </oddHeader>
    <oddFooter xml:space="preserve">&amp;C&amp;K000000
</oddFooter>
  </headerFooter>
  <ignoredErrors>
    <ignoredError sqref="A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  <pageSetUpPr fitToPage="1"/>
  </sheetPr>
  <dimension ref="A3:L42"/>
  <sheetViews>
    <sheetView zoomScaleNormal="100" workbookViewId="0">
      <selection activeCell="E22" sqref="E22"/>
    </sheetView>
  </sheetViews>
  <sheetFormatPr defaultColWidth="11.42578125" defaultRowHeight="16.5" x14ac:dyDescent="0.25"/>
  <cols>
    <col min="1" max="1" width="14.7109375" style="2" customWidth="1"/>
    <col min="2" max="2" width="16.140625" style="2" customWidth="1"/>
    <col min="3" max="3" width="14.85546875" style="2" customWidth="1"/>
    <col min="4" max="4" width="12.7109375" style="2" customWidth="1"/>
    <col min="5" max="5" width="15.140625" style="2" customWidth="1"/>
    <col min="6" max="6" width="12.7109375" style="2" customWidth="1"/>
    <col min="7" max="7" width="21.7109375" style="2" bestFit="1" customWidth="1"/>
    <col min="8" max="8" width="17.28515625" style="2" customWidth="1"/>
    <col min="9" max="16384" width="11.42578125" style="2"/>
  </cols>
  <sheetData>
    <row r="3" spans="1:12" x14ac:dyDescent="0.25">
      <c r="A3" s="403" t="s">
        <v>109</v>
      </c>
      <c r="B3" s="403"/>
      <c r="C3" s="403"/>
      <c r="D3" s="403"/>
      <c r="E3" s="403"/>
      <c r="F3" s="403"/>
      <c r="G3" s="403"/>
      <c r="H3" s="128"/>
      <c r="I3" s="49"/>
    </row>
    <row r="5" spans="1:12" x14ac:dyDescent="0.25">
      <c r="A5" s="397" t="s">
        <v>170</v>
      </c>
      <c r="B5" s="397"/>
      <c r="C5" s="397"/>
      <c r="D5" s="397"/>
      <c r="E5" s="397"/>
      <c r="F5" s="397"/>
      <c r="G5" s="397"/>
      <c r="H5" s="49"/>
      <c r="I5" s="49"/>
    </row>
    <row r="6" spans="1:12" x14ac:dyDescent="0.25">
      <c r="A6" s="398" t="s">
        <v>50</v>
      </c>
      <c r="B6" s="398"/>
      <c r="C6" s="398"/>
      <c r="D6" s="398"/>
      <c r="E6" s="398"/>
      <c r="F6" s="398"/>
      <c r="G6" s="398"/>
      <c r="H6" s="50"/>
      <c r="I6" s="50"/>
    </row>
    <row r="7" spans="1:12" x14ac:dyDescent="0.25">
      <c r="A7" s="144"/>
      <c r="B7" s="144"/>
      <c r="C7" s="144"/>
      <c r="D7" s="191"/>
      <c r="E7" s="144"/>
      <c r="F7" s="144"/>
      <c r="G7" s="144"/>
      <c r="H7" s="50"/>
      <c r="I7" s="50"/>
    </row>
    <row r="8" spans="1:12" x14ac:dyDescent="0.25">
      <c r="A8" s="112"/>
      <c r="B8" s="112"/>
      <c r="C8" s="112"/>
      <c r="D8" s="191"/>
      <c r="E8" s="112"/>
      <c r="F8" s="112"/>
      <c r="G8" s="112"/>
      <c r="H8" s="112"/>
      <c r="I8" s="50"/>
    </row>
    <row r="9" spans="1:12" x14ac:dyDescent="0.25">
      <c r="A9" s="3"/>
      <c r="B9" s="3"/>
      <c r="C9" s="3"/>
      <c r="D9" s="191"/>
      <c r="E9" s="3"/>
      <c r="F9" s="3"/>
      <c r="G9" s="52" t="s">
        <v>77</v>
      </c>
      <c r="H9" s="3"/>
      <c r="I9" s="50"/>
    </row>
    <row r="10" spans="1:12" x14ac:dyDescent="0.25">
      <c r="A10" s="3"/>
      <c r="B10" s="3"/>
      <c r="C10" s="3"/>
      <c r="D10" s="191"/>
      <c r="E10" s="3"/>
      <c r="F10" s="3"/>
      <c r="G10" s="166" t="s">
        <v>249</v>
      </c>
      <c r="H10" s="10"/>
      <c r="I10" s="50"/>
    </row>
    <row r="11" spans="1:12" x14ac:dyDescent="0.25">
      <c r="H11" s="10"/>
    </row>
    <row r="12" spans="1:12" x14ac:dyDescent="0.25">
      <c r="A12" s="401" t="s">
        <v>164</v>
      </c>
      <c r="B12" s="401"/>
      <c r="G12" s="61">
        <f>[5]detail!$AT$130/1000</f>
        <v>557.44177692307676</v>
      </c>
      <c r="H12" s="362"/>
      <c r="I12" s="362"/>
      <c r="L12" s="26"/>
    </row>
    <row r="13" spans="1:12" x14ac:dyDescent="0.25">
      <c r="A13" s="401" t="s">
        <v>165</v>
      </c>
      <c r="B13" s="401"/>
      <c r="G13" s="44">
        <f>[5]detail!$AT$132/1000</f>
        <v>28</v>
      </c>
      <c r="H13" s="362"/>
      <c r="I13" s="362"/>
      <c r="L13" s="26"/>
    </row>
    <row r="14" spans="1:12" x14ac:dyDescent="0.25">
      <c r="A14" s="401" t="s">
        <v>166</v>
      </c>
      <c r="B14" s="401"/>
      <c r="G14" s="44">
        <f>[5]detail!$AT$137/1000</f>
        <v>-176.61687583333313</v>
      </c>
      <c r="H14" s="362"/>
      <c r="I14" s="362"/>
      <c r="L14" s="26"/>
    </row>
    <row r="15" spans="1:12" x14ac:dyDescent="0.25">
      <c r="A15" s="290" t="s">
        <v>205</v>
      </c>
      <c r="B15" s="290"/>
      <c r="G15" s="44">
        <f>[5]detail!$AT$126/1000</f>
        <v>128.14410916666634</v>
      </c>
      <c r="H15" s="362"/>
      <c r="I15" s="362"/>
      <c r="L15" s="26"/>
    </row>
    <row r="16" spans="1:12" x14ac:dyDescent="0.25">
      <c r="A16" s="401" t="s">
        <v>167</v>
      </c>
      <c r="B16" s="401"/>
      <c r="G16" s="44">
        <f>[5]detail!$AT$138/1000</f>
        <v>2123.6654915384584</v>
      </c>
      <c r="H16" s="362"/>
      <c r="I16" s="362"/>
      <c r="L16" s="26"/>
    </row>
    <row r="17" spans="1:12" x14ac:dyDescent="0.25">
      <c r="A17" s="401" t="s">
        <v>168</v>
      </c>
      <c r="B17" s="401"/>
      <c r="G17" s="44">
        <f>[5]detail!$AT$128/1000</f>
        <v>1977.4116892307682</v>
      </c>
      <c r="H17" s="362"/>
      <c r="I17" s="362"/>
      <c r="L17" s="26"/>
    </row>
    <row r="18" spans="1:12" x14ac:dyDescent="0.25">
      <c r="A18" s="401" t="s">
        <v>169</v>
      </c>
      <c r="B18" s="401"/>
      <c r="G18" s="44">
        <f>[5]detail!$AT$134/1000</f>
        <v>47.078346923076971</v>
      </c>
      <c r="H18" s="362"/>
      <c r="I18" s="362"/>
      <c r="L18" s="26"/>
    </row>
    <row r="19" spans="1:12" x14ac:dyDescent="0.25">
      <c r="A19" s="401" t="s">
        <v>176</v>
      </c>
      <c r="B19" s="401"/>
      <c r="C19" s="401"/>
      <c r="D19" s="193"/>
      <c r="G19" s="44">
        <f>'JMC - 18 (Assessment - #5)'!I14*(5/12)</f>
        <v>785.08504724711372</v>
      </c>
      <c r="H19" s="362"/>
      <c r="I19" s="362"/>
      <c r="L19" s="26"/>
    </row>
    <row r="20" spans="1:12" x14ac:dyDescent="0.25">
      <c r="A20" s="215" t="s">
        <v>185</v>
      </c>
      <c r="B20" s="215"/>
      <c r="C20" s="215"/>
      <c r="D20" s="215"/>
      <c r="G20" s="44">
        <f>SUM([5]detail!$AT$400:$AT$401)/1000</f>
        <v>8165.4417557692232</v>
      </c>
      <c r="H20" s="362"/>
      <c r="I20" s="362"/>
      <c r="L20" s="26"/>
    </row>
    <row r="21" spans="1:12" ht="20.25" customHeight="1" thickBot="1" x14ac:dyDescent="0.3">
      <c r="A21" s="395" t="s">
        <v>100</v>
      </c>
      <c r="B21" s="395"/>
      <c r="C21" s="395"/>
      <c r="D21" s="395"/>
      <c r="E21" s="395"/>
      <c r="G21" s="206">
        <f>SUM(G12:G20)</f>
        <v>13635.651340965051</v>
      </c>
      <c r="H21" s="10"/>
      <c r="L21" s="26"/>
    </row>
    <row r="22" spans="1:12" ht="20.25" customHeight="1" thickTop="1" x14ac:dyDescent="0.25">
      <c r="A22" s="28"/>
      <c r="B22" s="28"/>
      <c r="C22" s="28"/>
      <c r="D22" s="192"/>
      <c r="G22" s="58"/>
      <c r="H22" s="58"/>
      <c r="L22" s="26"/>
    </row>
    <row r="23" spans="1:12" x14ac:dyDescent="0.25">
      <c r="L23" s="26"/>
    </row>
    <row r="24" spans="1:12" x14ac:dyDescent="0.25">
      <c r="A24" s="401" t="s">
        <v>296</v>
      </c>
      <c r="B24" s="402"/>
      <c r="C24" s="402"/>
      <c r="D24" s="402"/>
      <c r="E24" s="402"/>
      <c r="F24" s="402"/>
      <c r="G24" s="237"/>
      <c r="H24" s="113"/>
    </row>
    <row r="25" spans="1:12" x14ac:dyDescent="0.25">
      <c r="A25" s="410"/>
      <c r="B25" s="410"/>
      <c r="C25" s="410"/>
      <c r="D25" s="410"/>
      <c r="E25" s="410"/>
      <c r="F25" s="80"/>
    </row>
    <row r="26" spans="1:12" x14ac:dyDescent="0.25">
      <c r="A26" s="9" t="s">
        <v>238</v>
      </c>
    </row>
    <row r="27" spans="1:12" x14ac:dyDescent="0.25">
      <c r="B27" s="333" t="s">
        <v>283</v>
      </c>
      <c r="C27" s="399" t="s">
        <v>295</v>
      </c>
      <c r="D27" s="399"/>
      <c r="E27" s="2" t="s">
        <v>273</v>
      </c>
      <c r="G27"/>
    </row>
    <row r="28" spans="1:12" x14ac:dyDescent="0.25">
      <c r="B28" s="213"/>
      <c r="C28" s="24"/>
      <c r="E28" s="24"/>
      <c r="G28"/>
    </row>
    <row r="29" spans="1:12" x14ac:dyDescent="0.25">
      <c r="B29" s="214"/>
      <c r="C29" s="67"/>
      <c r="D29" s="63"/>
      <c r="E29" s="67"/>
      <c r="F29" s="63"/>
      <c r="G29" s="93"/>
    </row>
    <row r="30" spans="1:12" x14ac:dyDescent="0.25">
      <c r="B30" s="214"/>
      <c r="C30" s="67"/>
      <c r="D30" s="63"/>
      <c r="E30" s="67"/>
      <c r="F30" s="63"/>
      <c r="G30" s="93"/>
    </row>
    <row r="31" spans="1:12" x14ac:dyDescent="0.25">
      <c r="B31" s="214"/>
      <c r="C31" s="67"/>
      <c r="D31" s="63"/>
      <c r="E31" s="67"/>
      <c r="F31" s="63"/>
      <c r="G31" s="93"/>
    </row>
    <row r="32" spans="1:12" x14ac:dyDescent="0.25">
      <c r="B32" s="214"/>
      <c r="C32" s="67"/>
      <c r="D32" s="63"/>
      <c r="E32" s="67"/>
      <c r="F32" s="63"/>
      <c r="G32" s="93"/>
    </row>
    <row r="33" spans="2:7" x14ac:dyDescent="0.25">
      <c r="B33" s="214"/>
      <c r="C33" s="67"/>
      <c r="D33" s="63"/>
      <c r="E33" s="67"/>
      <c r="F33" s="63"/>
      <c r="G33" s="93"/>
    </row>
    <row r="34" spans="2:7" x14ac:dyDescent="0.25">
      <c r="B34" s="214"/>
      <c r="C34" s="67"/>
      <c r="D34" s="63"/>
      <c r="E34" s="67"/>
      <c r="F34" s="63"/>
      <c r="G34" s="93"/>
    </row>
    <row r="35" spans="2:7" x14ac:dyDescent="0.25">
      <c r="B35" s="214"/>
      <c r="C35" s="67"/>
      <c r="D35" s="63"/>
      <c r="E35" s="67"/>
      <c r="F35" s="63"/>
      <c r="G35" s="93"/>
    </row>
    <row r="36" spans="2:7" x14ac:dyDescent="0.25">
      <c r="B36" s="214"/>
      <c r="C36" s="67"/>
      <c r="D36" s="63"/>
      <c r="E36" s="67"/>
      <c r="F36" s="63"/>
      <c r="G36" s="93"/>
    </row>
    <row r="37" spans="2:7" x14ac:dyDescent="0.25">
      <c r="B37" s="214"/>
      <c r="C37" s="67"/>
      <c r="D37" s="63"/>
      <c r="E37" s="67"/>
      <c r="F37" s="63"/>
      <c r="G37" s="93"/>
    </row>
    <row r="38" spans="2:7" x14ac:dyDescent="0.25">
      <c r="C38" s="63"/>
      <c r="D38" s="63"/>
      <c r="E38" s="67"/>
      <c r="F38" s="63"/>
      <c r="G38" s="93"/>
    </row>
    <row r="39" spans="2:7" x14ac:dyDescent="0.25">
      <c r="C39" s="135"/>
      <c r="D39" s="63"/>
      <c r="E39" s="67"/>
      <c r="F39" s="63"/>
      <c r="G39" s="93"/>
    </row>
    <row r="40" spans="2:7" x14ac:dyDescent="0.25">
      <c r="C40" s="63"/>
      <c r="D40" s="63"/>
      <c r="E40" s="135"/>
      <c r="F40" s="63"/>
      <c r="G40" s="93"/>
    </row>
    <row r="41" spans="2:7" x14ac:dyDescent="0.25">
      <c r="C41" s="63"/>
      <c r="D41" s="63"/>
      <c r="E41" s="63"/>
      <c r="F41" s="63"/>
      <c r="G41" s="93"/>
    </row>
    <row r="42" spans="2:7" x14ac:dyDescent="0.25">
      <c r="G42"/>
    </row>
  </sheetData>
  <mergeCells count="14">
    <mergeCell ref="C27:D27"/>
    <mergeCell ref="A25:E25"/>
    <mergeCell ref="A24:F24"/>
    <mergeCell ref="A21:E21"/>
    <mergeCell ref="A3:G3"/>
    <mergeCell ref="A5:G5"/>
    <mergeCell ref="A6:G6"/>
    <mergeCell ref="A12:B12"/>
    <mergeCell ref="A13:B13"/>
    <mergeCell ref="A16:B16"/>
    <mergeCell ref="A17:B17"/>
    <mergeCell ref="A19:C19"/>
    <mergeCell ref="A14:B14"/>
    <mergeCell ref="A18:B18"/>
  </mergeCells>
  <phoneticPr fontId="2" type="noConversion"/>
  <pageMargins left="1" right="0.25" top="1.25" bottom="0.25" header="0.5" footer="0.5"/>
  <pageSetup scale="75" orientation="portrait" r:id="rId1"/>
  <headerFooter alignWithMargins="0">
    <oddHeader xml:space="preserve">&amp;R&amp;"Arial,Bold"&amp;14EXHIBIT P-3
SCHEDULE JMC-10
UPDATE-1  </oddHeader>
    <oddFooter xml:space="preserve">&amp;C&amp;K000000
</oddFooter>
  </headerFooter>
  <ignoredErrors>
    <ignoredError sqref="A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3:I33"/>
  <sheetViews>
    <sheetView topLeftCell="A3" zoomScaleNormal="100" workbookViewId="0">
      <selection activeCell="E22" sqref="E22"/>
    </sheetView>
  </sheetViews>
  <sheetFormatPr defaultRowHeight="16.5" x14ac:dyDescent="0.25"/>
  <cols>
    <col min="1" max="2" width="12.7109375" style="2" customWidth="1"/>
    <col min="3" max="3" width="14.140625" style="2" bestFit="1" customWidth="1"/>
    <col min="4" max="4" width="12.7109375" style="2" customWidth="1"/>
    <col min="5" max="5" width="14.42578125" style="2" bestFit="1" customWidth="1"/>
    <col min="6" max="6" width="22.7109375" style="2" customWidth="1"/>
    <col min="7" max="7" width="9.140625" style="2"/>
    <col min="8" max="9" width="13.7109375" style="2" bestFit="1" customWidth="1"/>
    <col min="10" max="16384" width="9.140625" style="2"/>
  </cols>
  <sheetData>
    <row r="3" spans="1:9" x14ac:dyDescent="0.25">
      <c r="A3" s="403" t="s">
        <v>109</v>
      </c>
      <c r="B3" s="403"/>
      <c r="C3" s="403"/>
      <c r="D3" s="403"/>
      <c r="E3" s="403"/>
      <c r="F3" s="403"/>
    </row>
    <row r="5" spans="1:9" x14ac:dyDescent="0.25">
      <c r="A5" s="403" t="s">
        <v>115</v>
      </c>
      <c r="B5" s="403"/>
      <c r="C5" s="403"/>
      <c r="D5" s="403"/>
      <c r="E5" s="403"/>
      <c r="F5" s="403"/>
    </row>
    <row r="6" spans="1:9" x14ac:dyDescent="0.25">
      <c r="A6" s="398" t="s">
        <v>50</v>
      </c>
      <c r="B6" s="398"/>
      <c r="C6" s="398"/>
      <c r="D6" s="398"/>
      <c r="E6" s="398"/>
      <c r="F6" s="398"/>
    </row>
    <row r="7" spans="1:9" x14ac:dyDescent="0.25">
      <c r="A7" s="112"/>
      <c r="B7" s="112"/>
      <c r="C7" s="112"/>
      <c r="D7" s="154"/>
      <c r="E7" s="112"/>
      <c r="F7" s="112"/>
    </row>
    <row r="8" spans="1:9" x14ac:dyDescent="0.25">
      <c r="A8" s="3"/>
      <c r="B8" s="3"/>
      <c r="C8" s="3"/>
      <c r="D8" s="154"/>
      <c r="E8" s="3"/>
    </row>
    <row r="9" spans="1:9" x14ac:dyDescent="0.25">
      <c r="F9" s="111" t="s">
        <v>76</v>
      </c>
    </row>
    <row r="10" spans="1:9" x14ac:dyDescent="0.25">
      <c r="F10" s="166" t="s">
        <v>249</v>
      </c>
    </row>
    <row r="11" spans="1:9" x14ac:dyDescent="0.25">
      <c r="G11" s="350"/>
    </row>
    <row r="12" spans="1:9" x14ac:dyDescent="0.25">
      <c r="A12" s="402" t="s">
        <v>89</v>
      </c>
      <c r="B12" s="401"/>
      <c r="C12" s="401"/>
      <c r="D12" s="401"/>
      <c r="E12" s="401"/>
      <c r="F12" s="61">
        <f>'[9]JMC - 10 - DFIT'!$F$11</f>
        <v>-231051.29146469999</v>
      </c>
      <c r="G12" s="355"/>
      <c r="I12" s="98"/>
    </row>
    <row r="13" spans="1:9" x14ac:dyDescent="0.25">
      <c r="F13" s="61"/>
      <c r="G13" s="350"/>
      <c r="I13" s="98"/>
    </row>
    <row r="14" spans="1:9" x14ac:dyDescent="0.25">
      <c r="A14" s="401" t="s">
        <v>20</v>
      </c>
      <c r="B14" s="401"/>
      <c r="C14" s="401"/>
      <c r="D14" s="401"/>
      <c r="E14" s="401"/>
      <c r="F14" s="44">
        <f>'[9]JMC - 10 - DFIT'!$F$19</f>
        <v>65591.253111299986</v>
      </c>
      <c r="G14" s="355"/>
      <c r="I14" s="45"/>
    </row>
    <row r="15" spans="1:9" x14ac:dyDescent="0.25">
      <c r="F15" s="44"/>
      <c r="G15" s="350"/>
      <c r="I15" s="45"/>
    </row>
    <row r="16" spans="1:9" x14ac:dyDescent="0.25">
      <c r="A16" s="401" t="s">
        <v>161</v>
      </c>
      <c r="B16" s="401"/>
      <c r="C16" s="401"/>
      <c r="D16" s="401"/>
      <c r="E16" s="401"/>
      <c r="F16" s="44">
        <f>'[9]JMC - 10 - DFIT'!$F$15</f>
        <v>-54761.168779799991</v>
      </c>
      <c r="G16" s="355"/>
      <c r="I16" s="45"/>
    </row>
    <row r="17" spans="1:9" x14ac:dyDescent="0.25">
      <c r="F17" s="44"/>
      <c r="G17" s="350"/>
      <c r="I17" s="45"/>
    </row>
    <row r="18" spans="1:9" x14ac:dyDescent="0.25">
      <c r="A18" s="402" t="s">
        <v>132</v>
      </c>
      <c r="B18" s="401"/>
      <c r="C18" s="401"/>
      <c r="D18" s="401"/>
      <c r="E18" s="401"/>
      <c r="F18" s="44">
        <f>'[9]JMC - 10 - DFIT'!$F$22</f>
        <v>1651.7353838999998</v>
      </c>
      <c r="G18" s="355"/>
      <c r="I18" s="45"/>
    </row>
    <row r="19" spans="1:9" x14ac:dyDescent="0.25">
      <c r="F19" s="44"/>
      <c r="G19" s="350"/>
      <c r="I19" s="45"/>
    </row>
    <row r="20" spans="1:9" x14ac:dyDescent="0.25">
      <c r="A20" s="401" t="s">
        <v>21</v>
      </c>
      <c r="B20" s="401"/>
      <c r="C20" s="401"/>
      <c r="D20" s="401"/>
      <c r="E20" s="401"/>
      <c r="F20" s="44">
        <f>'[9]JMC - 10 - DFIT'!$F$26</f>
        <v>1851.7759742999999</v>
      </c>
      <c r="G20" s="355"/>
      <c r="I20" s="45"/>
    </row>
    <row r="21" spans="1:9" x14ac:dyDescent="0.25">
      <c r="F21" s="44"/>
      <c r="G21" s="350"/>
      <c r="I21" s="45"/>
    </row>
    <row r="22" spans="1:9" x14ac:dyDescent="0.25">
      <c r="A22" s="12" t="s">
        <v>133</v>
      </c>
      <c r="F22" s="44">
        <v>1512.0249899999999</v>
      </c>
      <c r="G22" s="355"/>
      <c r="I22" s="45"/>
    </row>
    <row r="23" spans="1:9" x14ac:dyDescent="0.25">
      <c r="F23" s="44"/>
      <c r="G23" s="350"/>
      <c r="I23" s="45"/>
    </row>
    <row r="24" spans="1:9" x14ac:dyDescent="0.25">
      <c r="A24" s="401" t="s">
        <v>22</v>
      </c>
      <c r="B24" s="401"/>
      <c r="C24" s="401"/>
      <c r="D24" s="401"/>
      <c r="E24" s="401"/>
      <c r="F24" s="44">
        <f>'[9]JMC - 10 - DFIT'!$F$38</f>
        <v>-74939.066124339501</v>
      </c>
      <c r="G24" s="355"/>
      <c r="I24" s="45"/>
    </row>
    <row r="25" spans="1:9" x14ac:dyDescent="0.25">
      <c r="F25" s="44"/>
      <c r="I25" s="45"/>
    </row>
    <row r="26" spans="1:9" x14ac:dyDescent="0.25">
      <c r="A26" s="412" t="s">
        <v>134</v>
      </c>
      <c r="B26" s="412"/>
      <c r="C26" s="412"/>
      <c r="D26" s="412"/>
      <c r="E26" s="412"/>
      <c r="F26" s="44">
        <f>-'JMC - 7 (Depreciation Reserve)'!F33*0.2811</f>
        <v>5490.5124552667339</v>
      </c>
      <c r="I26" s="45"/>
    </row>
    <row r="27" spans="1:9" x14ac:dyDescent="0.25">
      <c r="A27" s="262"/>
      <c r="B27" s="262"/>
      <c r="C27" s="262"/>
      <c r="D27" s="262"/>
      <c r="E27" s="262"/>
      <c r="F27" s="44"/>
      <c r="G27" s="222"/>
      <c r="H27" s="222"/>
      <c r="I27" s="45"/>
    </row>
    <row r="28" spans="1:9" x14ac:dyDescent="0.25">
      <c r="A28" s="261" t="s">
        <v>270</v>
      </c>
      <c r="B28" s="262"/>
      <c r="C28" s="262"/>
      <c r="D28" s="262"/>
      <c r="E28" s="262"/>
      <c r="F28" s="46">
        <v>-6</v>
      </c>
      <c r="G28" s="355"/>
      <c r="H28" s="313"/>
      <c r="I28" s="45"/>
    </row>
    <row r="29" spans="1:9" x14ac:dyDescent="0.25">
      <c r="F29" s="57"/>
      <c r="G29" s="222"/>
      <c r="H29" s="222"/>
      <c r="I29" s="123"/>
    </row>
    <row r="30" spans="1:9" ht="17.25" thickBot="1" x14ac:dyDescent="0.3">
      <c r="A30" s="395" t="s">
        <v>160</v>
      </c>
      <c r="B30" s="395"/>
      <c r="C30" s="395"/>
      <c r="D30" s="395"/>
      <c r="E30" s="395"/>
      <c r="F30" s="62">
        <f>SUM(F12:F28)</f>
        <v>-284660.22445407283</v>
      </c>
      <c r="G30" s="343"/>
      <c r="H30" s="343"/>
      <c r="I30" s="389"/>
    </row>
    <row r="31" spans="1:9" ht="17.25" thickTop="1" x14ac:dyDescent="0.25">
      <c r="G31" s="222"/>
      <c r="H31" s="222"/>
    </row>
    <row r="32" spans="1:9" x14ac:dyDescent="0.25">
      <c r="A32" s="9" t="s">
        <v>238</v>
      </c>
    </row>
    <row r="33" spans="2:5" x14ac:dyDescent="0.25">
      <c r="B33" s="333" t="s">
        <v>283</v>
      </c>
      <c r="C33" s="399" t="s">
        <v>302</v>
      </c>
      <c r="D33" s="399"/>
      <c r="E33" s="2" t="s">
        <v>244</v>
      </c>
    </row>
  </sheetData>
  <mergeCells count="12">
    <mergeCell ref="C33:D33"/>
    <mergeCell ref="A14:E14"/>
    <mergeCell ref="A12:E12"/>
    <mergeCell ref="A3:F3"/>
    <mergeCell ref="A5:F5"/>
    <mergeCell ref="A6:F6"/>
    <mergeCell ref="A16:E16"/>
    <mergeCell ref="A30:E30"/>
    <mergeCell ref="A24:E24"/>
    <mergeCell ref="A26:E26"/>
    <mergeCell ref="A20:E20"/>
    <mergeCell ref="A18:E18"/>
  </mergeCells>
  <phoneticPr fontId="2" type="noConversion"/>
  <pageMargins left="1" right="0.25" top="1.25" bottom="0.25" header="0.5" footer="0.5"/>
  <pageSetup orientation="portrait" r:id="rId1"/>
  <headerFooter alignWithMargins="0">
    <oddHeader xml:space="preserve">&amp;R&amp;"Arial,Bold"&amp;14EXHIBIT P-3
SCHEDULE JMC-11
UPDATE-1
  </oddHeader>
    <oddFooter xml:space="preserve">&amp;C&amp;K000000
</oddFooter>
  </headerFooter>
  <ignoredErrors>
    <ignoredError sqref="A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3:F29"/>
  <sheetViews>
    <sheetView topLeftCell="A4" zoomScaleNormal="100" workbookViewId="0">
      <selection activeCell="E22" sqref="E22"/>
    </sheetView>
  </sheetViews>
  <sheetFormatPr defaultColWidth="14.28515625" defaultRowHeight="12.75" x14ac:dyDescent="0.2"/>
  <cols>
    <col min="1" max="1" width="44.7109375" style="81" customWidth="1"/>
    <col min="2" max="2" width="25.85546875" style="81" customWidth="1"/>
    <col min="3" max="3" width="21" style="81" bestFit="1" customWidth="1"/>
    <col min="4" max="4" width="16.140625" style="81" bestFit="1" customWidth="1"/>
    <col min="5" max="5" width="14.28515625" style="81"/>
    <col min="6" max="6" width="16.85546875" style="81" bestFit="1" customWidth="1"/>
    <col min="7" max="16384" width="14.28515625" style="81"/>
  </cols>
  <sheetData>
    <row r="3" spans="1:6" ht="16.5" x14ac:dyDescent="0.25">
      <c r="A3" s="403" t="s">
        <v>109</v>
      </c>
      <c r="B3" s="403"/>
      <c r="C3" s="403"/>
      <c r="D3" s="128"/>
      <c r="E3" s="128"/>
      <c r="F3" s="128"/>
    </row>
    <row r="5" spans="1:6" ht="16.5" x14ac:dyDescent="0.25">
      <c r="A5" s="397" t="s">
        <v>88</v>
      </c>
      <c r="B5" s="397"/>
      <c r="C5" s="397"/>
    </row>
    <row r="6" spans="1:6" ht="16.5" x14ac:dyDescent="0.25">
      <c r="A6" s="395" t="s">
        <v>50</v>
      </c>
      <c r="B6" s="395"/>
      <c r="C6" s="395"/>
    </row>
    <row r="8" spans="1:6" s="94" customFormat="1" ht="16.5" x14ac:dyDescent="0.25">
      <c r="C8" s="96"/>
    </row>
    <row r="9" spans="1:6" s="94" customFormat="1" ht="16.5" x14ac:dyDescent="0.25">
      <c r="C9" s="170" t="s">
        <v>137</v>
      </c>
    </row>
    <row r="10" spans="1:6" s="94" customFormat="1" ht="16.5" x14ac:dyDescent="0.25">
      <c r="A10" s="129"/>
      <c r="B10" s="129"/>
      <c r="C10" s="166" t="s">
        <v>249</v>
      </c>
    </row>
    <row r="11" spans="1:6" s="94" customFormat="1" ht="16.5" x14ac:dyDescent="0.25">
      <c r="C11" s="95"/>
    </row>
    <row r="12" spans="1:6" s="94" customFormat="1" ht="16.5" x14ac:dyDescent="0.25">
      <c r="A12" s="95" t="s">
        <v>116</v>
      </c>
      <c r="B12" s="95"/>
      <c r="C12" s="258">
        <f>'[10]FERC IS'!$U$21/1000</f>
        <v>740632.19460284198</v>
      </c>
      <c r="D12" s="250"/>
    </row>
    <row r="13" spans="1:6" s="94" customFormat="1" ht="16.5" x14ac:dyDescent="0.25">
      <c r="C13" s="238"/>
    </row>
    <row r="14" spans="1:6" s="94" customFormat="1" ht="16.5" x14ac:dyDescent="0.25">
      <c r="A14" s="160" t="s">
        <v>117</v>
      </c>
      <c r="B14" s="160"/>
      <c r="C14" s="238"/>
    </row>
    <row r="15" spans="1:6" s="94" customFormat="1" ht="16.5" x14ac:dyDescent="0.25">
      <c r="A15" s="94" t="s">
        <v>93</v>
      </c>
      <c r="C15" s="258">
        <f>'[10]FERC IS'!$U$103/1000</f>
        <v>447929.98119872785</v>
      </c>
      <c r="D15" s="250"/>
    </row>
    <row r="16" spans="1:6" s="94" customFormat="1" ht="16.5" x14ac:dyDescent="0.25">
      <c r="A16" s="94" t="s">
        <v>94</v>
      </c>
      <c r="C16" s="258">
        <f>'[10]FERC IS'!$U$138/1000</f>
        <v>17227.046154207466</v>
      </c>
      <c r="D16" s="250"/>
    </row>
    <row r="17" spans="1:6" s="94" customFormat="1" ht="16.5" x14ac:dyDescent="0.25">
      <c r="A17" s="94" t="s">
        <v>95</v>
      </c>
      <c r="C17" s="258">
        <f>'[10]FERC IS'!$U$143/1000</f>
        <v>78592.673949999997</v>
      </c>
      <c r="D17" s="250"/>
    </row>
    <row r="18" spans="1:6" s="94" customFormat="1" ht="16.5" x14ac:dyDescent="0.25">
      <c r="A18" s="94" t="s">
        <v>96</v>
      </c>
      <c r="C18" s="258">
        <f>'[10]FERC IS'!$U$153/1000</f>
        <v>48805.532196029533</v>
      </c>
      <c r="D18" s="250"/>
    </row>
    <row r="19" spans="1:6" s="94" customFormat="1" ht="16.5" x14ac:dyDescent="0.25">
      <c r="A19" s="233" t="s">
        <v>175</v>
      </c>
      <c r="C19" s="258">
        <f>'[10]FERC IS'!$U$150/1000</f>
        <v>22137.532776240001</v>
      </c>
      <c r="D19" s="250"/>
    </row>
    <row r="20" spans="1:6" s="94" customFormat="1" ht="16.5" x14ac:dyDescent="0.25">
      <c r="C20" s="239"/>
      <c r="F20" s="96"/>
    </row>
    <row r="21" spans="1:6" s="94" customFormat="1" ht="16.5" x14ac:dyDescent="0.25">
      <c r="A21" s="95" t="s">
        <v>118</v>
      </c>
      <c r="B21" s="95"/>
      <c r="C21" s="240">
        <f>SUM(C15:C20)</f>
        <v>614692.76627520495</v>
      </c>
      <c r="F21" s="162"/>
    </row>
    <row r="22" spans="1:6" s="94" customFormat="1" ht="16.5" x14ac:dyDescent="0.25">
      <c r="C22" s="238"/>
    </row>
    <row r="23" spans="1:6" s="94" customFormat="1" ht="17.25" thickBot="1" x14ac:dyDescent="0.3">
      <c r="A23" s="95" t="s">
        <v>119</v>
      </c>
      <c r="B23" s="95"/>
      <c r="C23" s="319">
        <f>C12-C21</f>
        <v>125939.42832763703</v>
      </c>
    </row>
    <row r="24" spans="1:6" s="94" customFormat="1" ht="17.25" thickTop="1" x14ac:dyDescent="0.25">
      <c r="C24" s="96"/>
    </row>
    <row r="25" spans="1:6" s="94" customFormat="1" ht="16.5" x14ac:dyDescent="0.25">
      <c r="A25" s="9" t="s">
        <v>238</v>
      </c>
      <c r="C25" s="130"/>
    </row>
    <row r="26" spans="1:6" s="94" customFormat="1" ht="16.5" x14ac:dyDescent="0.25">
      <c r="A26" s="333" t="s">
        <v>283</v>
      </c>
      <c r="B26" s="375" t="s">
        <v>285</v>
      </c>
      <c r="C26" s="334" t="s">
        <v>274</v>
      </c>
    </row>
    <row r="29" spans="1:6" ht="16.5" x14ac:dyDescent="0.25">
      <c r="A29" s="16"/>
      <c r="B29" s="16"/>
    </row>
  </sheetData>
  <mergeCells count="3">
    <mergeCell ref="A3:C3"/>
    <mergeCell ref="A5:C5"/>
    <mergeCell ref="A6:C6"/>
  </mergeCells>
  <phoneticPr fontId="2" type="noConversion"/>
  <pageMargins left="1" right="0.25" top="1.25" bottom="0.25" header="0.5" footer="0.5"/>
  <pageSetup scale="87" orientation="portrait" r:id="rId1"/>
  <headerFooter alignWithMargins="0">
    <oddHeader xml:space="preserve">&amp;R&amp;"Arial,Bold"&amp;14EXHIBIT P-3
SCHEDULE JMC-12
UPDATE-1  </oddHeader>
    <oddFooter xml:space="preserve">&amp;C&amp;K000000
</oddFooter>
  </headerFooter>
  <ignoredErrors>
    <ignoredError sqref="A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92D050"/>
    <pageSetUpPr fitToPage="1"/>
  </sheetPr>
  <dimension ref="A2:R58"/>
  <sheetViews>
    <sheetView topLeftCell="A10" zoomScaleNormal="100" workbookViewId="0">
      <selection activeCell="E22" sqref="E22"/>
    </sheetView>
  </sheetViews>
  <sheetFormatPr defaultRowHeight="12.75" x14ac:dyDescent="0.2"/>
  <cols>
    <col min="1" max="1" width="16.85546875" customWidth="1"/>
    <col min="3" max="3" width="13.85546875" customWidth="1"/>
    <col min="4" max="4" width="16.7109375" customWidth="1"/>
    <col min="5" max="5" width="9.7109375" customWidth="1"/>
    <col min="6" max="6" width="13" bestFit="1" customWidth="1"/>
    <col min="7" max="7" width="6.85546875" customWidth="1"/>
    <col min="8" max="8" width="21.7109375" style="40" bestFit="1" customWidth="1"/>
    <col min="9" max="9" width="5.5703125" style="40" customWidth="1"/>
    <col min="10" max="10" width="4.7109375" customWidth="1"/>
    <col min="11" max="11" width="16" style="40" bestFit="1" customWidth="1"/>
    <col min="12" max="12" width="11.28515625" bestFit="1" customWidth="1"/>
    <col min="13" max="18" width="11.42578125" bestFit="1" customWidth="1"/>
  </cols>
  <sheetData>
    <row r="2" spans="1:11" ht="16.5" x14ac:dyDescent="0.25">
      <c r="A2" s="413" t="s">
        <v>109</v>
      </c>
      <c r="B2" s="413"/>
      <c r="C2" s="413"/>
      <c r="D2" s="413"/>
      <c r="E2" s="413"/>
      <c r="F2" s="413"/>
      <c r="G2" s="413"/>
      <c r="H2" s="413"/>
      <c r="I2" s="133"/>
      <c r="J2" s="133"/>
      <c r="K2" s="133"/>
    </row>
    <row r="3" spans="1:11" ht="16.5" x14ac:dyDescent="0.25">
      <c r="A3" s="2"/>
      <c r="B3" s="2"/>
      <c r="C3" s="2"/>
      <c r="D3" s="2"/>
      <c r="E3" s="2"/>
      <c r="F3" s="2"/>
      <c r="G3" s="2"/>
      <c r="H3" s="39"/>
      <c r="I3" s="39"/>
      <c r="K3" s="39"/>
    </row>
    <row r="4" spans="1:11" ht="16.5" x14ac:dyDescent="0.25">
      <c r="A4" s="414" t="s">
        <v>83</v>
      </c>
      <c r="B4" s="414"/>
      <c r="C4" s="414"/>
      <c r="D4" s="414"/>
      <c r="E4" s="414"/>
      <c r="F4" s="414"/>
      <c r="G4" s="414"/>
      <c r="H4" s="414"/>
      <c r="I4" s="133"/>
      <c r="J4" s="133"/>
      <c r="K4" s="133"/>
    </row>
    <row r="5" spans="1:11" ht="16.5" x14ac:dyDescent="0.25">
      <c r="A5" s="398" t="s">
        <v>50</v>
      </c>
      <c r="B5" s="398"/>
      <c r="C5" s="398"/>
      <c r="D5" s="398"/>
      <c r="E5" s="398"/>
      <c r="F5" s="398"/>
      <c r="G5" s="398"/>
      <c r="H5" s="398"/>
      <c r="I5" s="50"/>
      <c r="J5" s="50"/>
      <c r="K5" s="50"/>
    </row>
    <row r="6" spans="1:11" ht="16.5" x14ac:dyDescent="0.25">
      <c r="A6" s="144"/>
      <c r="B6" s="144"/>
      <c r="C6" s="144"/>
      <c r="D6" s="144"/>
      <c r="E6" s="144"/>
      <c r="F6" s="144"/>
      <c r="G6" s="144"/>
      <c r="H6" s="144"/>
      <c r="I6" s="50"/>
      <c r="J6" s="50"/>
      <c r="K6" s="50"/>
    </row>
    <row r="7" spans="1:11" ht="16.5" x14ac:dyDescent="0.25">
      <c r="A7" s="2"/>
      <c r="B7" s="2"/>
      <c r="C7" s="2"/>
      <c r="D7" s="2"/>
      <c r="E7" s="2"/>
      <c r="F7" s="2"/>
      <c r="G7" s="2"/>
      <c r="H7" s="52" t="s">
        <v>77</v>
      </c>
      <c r="I7" s="39"/>
      <c r="J7" s="2"/>
      <c r="K7" s="39"/>
    </row>
    <row r="8" spans="1:11" ht="16.5" x14ac:dyDescent="0.25">
      <c r="A8" s="2"/>
      <c r="B8" s="2"/>
      <c r="C8" s="2"/>
      <c r="D8" s="2"/>
      <c r="E8" s="2"/>
      <c r="F8" s="2"/>
      <c r="G8" s="2"/>
      <c r="H8" s="166" t="s">
        <v>249</v>
      </c>
      <c r="I8" s="41"/>
      <c r="J8" s="2"/>
      <c r="K8" s="132"/>
    </row>
    <row r="9" spans="1:11" ht="17.25" thickBot="1" x14ac:dyDescent="0.3">
      <c r="A9" s="2"/>
      <c r="B9" s="2"/>
      <c r="C9" s="2"/>
      <c r="D9" s="2"/>
      <c r="E9" s="2"/>
      <c r="F9" s="2"/>
      <c r="G9" s="2"/>
      <c r="H9" s="39"/>
      <c r="I9" s="39"/>
      <c r="J9" s="2"/>
      <c r="K9" s="77"/>
    </row>
    <row r="10" spans="1:11" ht="17.25" thickBot="1" x14ac:dyDescent="0.3">
      <c r="A10" s="9" t="s">
        <v>81</v>
      </c>
      <c r="B10" s="2"/>
      <c r="C10" s="2"/>
      <c r="D10" s="2"/>
      <c r="E10" s="2"/>
      <c r="F10" s="2"/>
      <c r="G10" s="2"/>
      <c r="H10" s="75">
        <f>'JMC - 12 (Income Stmt)'!C23</f>
        <v>125939.42832763703</v>
      </c>
      <c r="I10" s="76"/>
      <c r="J10" s="2"/>
      <c r="K10" s="76"/>
    </row>
    <row r="11" spans="1:11" ht="16.5" x14ac:dyDescent="0.25">
      <c r="A11" s="2"/>
      <c r="B11" s="2"/>
      <c r="C11" s="2"/>
      <c r="D11" s="2"/>
      <c r="E11" s="2"/>
      <c r="F11" s="2"/>
      <c r="G11" s="2"/>
      <c r="H11" s="22"/>
      <c r="I11" s="39"/>
      <c r="J11" s="2"/>
      <c r="K11" s="77"/>
    </row>
    <row r="12" spans="1:11" ht="16.5" x14ac:dyDescent="0.25">
      <c r="A12" s="60" t="s">
        <v>24</v>
      </c>
      <c r="B12" s="9" t="s">
        <v>52</v>
      </c>
      <c r="C12" s="9"/>
      <c r="D12" s="2"/>
      <c r="E12" s="2"/>
      <c r="F12" s="6" t="s">
        <v>51</v>
      </c>
      <c r="G12" s="117"/>
      <c r="H12" s="22"/>
      <c r="I12" s="39"/>
      <c r="J12" s="2"/>
      <c r="K12" s="77"/>
    </row>
    <row r="13" spans="1:11" ht="16.5" x14ac:dyDescent="0.25">
      <c r="A13" s="2"/>
      <c r="B13" s="2"/>
      <c r="C13" s="2"/>
      <c r="D13" s="2"/>
      <c r="E13" s="2"/>
      <c r="F13" s="2"/>
      <c r="G13" s="2"/>
      <c r="H13" s="61"/>
      <c r="I13" s="39"/>
      <c r="J13" s="2"/>
      <c r="K13" s="77"/>
    </row>
    <row r="14" spans="1:11" ht="16.5" x14ac:dyDescent="0.25">
      <c r="A14" s="6">
        <v>1</v>
      </c>
      <c r="B14" s="401" t="s">
        <v>86</v>
      </c>
      <c r="C14" s="401"/>
      <c r="D14" s="401"/>
      <c r="E14" s="401"/>
      <c r="F14" s="174" t="s">
        <v>196</v>
      </c>
      <c r="G14" s="122"/>
      <c r="H14" s="61">
        <f>'JMC - 14 (Wages - #1)'!G19</f>
        <v>-2524.9342978279128</v>
      </c>
      <c r="I14" s="22"/>
      <c r="J14" s="2"/>
      <c r="K14" s="37"/>
    </row>
    <row r="15" spans="1:11" ht="16.5" x14ac:dyDescent="0.25">
      <c r="A15" s="6"/>
      <c r="B15" s="2"/>
      <c r="C15" s="2"/>
      <c r="D15" s="2"/>
      <c r="E15" s="2"/>
      <c r="F15" s="6"/>
      <c r="G15" s="117"/>
      <c r="H15" s="61"/>
      <c r="I15" s="39"/>
      <c r="J15" s="2"/>
      <c r="K15" s="77"/>
    </row>
    <row r="16" spans="1:11" ht="16.5" x14ac:dyDescent="0.25">
      <c r="A16" s="6">
        <v>2</v>
      </c>
      <c r="B16" s="401" t="s">
        <v>87</v>
      </c>
      <c r="C16" s="401"/>
      <c r="D16" s="401"/>
      <c r="E16" s="401"/>
      <c r="F16" s="174" t="s">
        <v>197</v>
      </c>
      <c r="G16" s="122"/>
      <c r="H16" s="347">
        <f>'JMC - 15 (Payroll Taxes - #2)'!H19</f>
        <v>-193.15747378383534</v>
      </c>
      <c r="I16" s="24"/>
      <c r="J16" s="24"/>
      <c r="K16" s="67"/>
    </row>
    <row r="17" spans="1:11" ht="16.5" x14ac:dyDescent="0.25">
      <c r="A17" s="6"/>
      <c r="B17" s="2"/>
      <c r="C17" s="2"/>
      <c r="D17" s="2"/>
      <c r="E17" s="2"/>
      <c r="F17" s="117"/>
      <c r="G17" s="117"/>
      <c r="H17" s="347"/>
      <c r="I17" s="24"/>
      <c r="J17" s="24"/>
      <c r="K17" s="67"/>
    </row>
    <row r="18" spans="1:11" ht="16.5" x14ac:dyDescent="0.25">
      <c r="A18" s="6">
        <v>3</v>
      </c>
      <c r="B18" s="401" t="s">
        <v>23</v>
      </c>
      <c r="C18" s="401"/>
      <c r="D18" s="401"/>
      <c r="E18" s="401"/>
      <c r="F18" s="174" t="s">
        <v>198</v>
      </c>
      <c r="G18" s="122"/>
      <c r="H18" s="347">
        <f>'JMC - 16 (Int. Sync. - #3)'!F25</f>
        <v>1455.1371446674323</v>
      </c>
      <c r="I18" s="24"/>
      <c r="J18" s="24"/>
      <c r="K18" s="67"/>
    </row>
    <row r="19" spans="1:11" ht="16.5" x14ac:dyDescent="0.25">
      <c r="A19" s="6"/>
      <c r="B19" s="2"/>
      <c r="C19" s="2"/>
      <c r="D19" s="2"/>
      <c r="E19" s="2"/>
      <c r="F19" s="117"/>
      <c r="G19" s="117"/>
      <c r="H19" s="347"/>
      <c r="I19" s="24"/>
      <c r="J19" s="24"/>
      <c r="K19" s="67"/>
    </row>
    <row r="20" spans="1:11" ht="16.5" x14ac:dyDescent="0.25">
      <c r="A20" s="243">
        <v>4</v>
      </c>
      <c r="B20" s="410" t="s">
        <v>54</v>
      </c>
      <c r="C20" s="410"/>
      <c r="D20" s="410"/>
      <c r="E20" s="410"/>
      <c r="F20" s="243" t="s">
        <v>199</v>
      </c>
      <c r="G20" s="244"/>
      <c r="H20" s="347">
        <f>'JMC - 17 (Pension-Fringes - #4)'!I31</f>
        <v>-679.92273284052783</v>
      </c>
      <c r="I20" s="24"/>
      <c r="J20" s="24"/>
      <c r="K20" s="37"/>
    </row>
    <row r="21" spans="1:11" ht="16.5" x14ac:dyDescent="0.25">
      <c r="A21" s="151"/>
      <c r="B21" s="31"/>
      <c r="C21" s="31"/>
      <c r="D21" s="31"/>
      <c r="E21" s="31"/>
      <c r="F21" s="152"/>
      <c r="G21" s="152"/>
      <c r="H21" s="347"/>
      <c r="I21" s="24"/>
      <c r="J21" s="24"/>
      <c r="K21" s="67"/>
    </row>
    <row r="22" spans="1:11" ht="16.5" x14ac:dyDescent="0.25">
      <c r="A22" s="151">
        <v>5</v>
      </c>
      <c r="B22" s="410" t="s">
        <v>108</v>
      </c>
      <c r="C22" s="410"/>
      <c r="D22" s="410"/>
      <c r="E22" s="410"/>
      <c r="F22" s="174" t="s">
        <v>200</v>
      </c>
      <c r="G22" s="122"/>
      <c r="H22" s="347">
        <f>'JMC - 18 (Assessment - #5)'!I21</f>
        <v>-413.40149922028013</v>
      </c>
      <c r="I22" s="24"/>
      <c r="J22" s="24"/>
      <c r="K22" s="67"/>
    </row>
    <row r="23" spans="1:11" ht="16.5" x14ac:dyDescent="0.25">
      <c r="A23" s="151"/>
      <c r="B23" s="31"/>
      <c r="C23" s="31"/>
      <c r="D23" s="31"/>
      <c r="E23" s="31"/>
      <c r="F23" s="152"/>
      <c r="G23" s="152"/>
      <c r="H23" s="347"/>
      <c r="I23" s="24"/>
      <c r="J23" s="24"/>
      <c r="K23" s="67"/>
    </row>
    <row r="24" spans="1:11" ht="16.5" x14ac:dyDescent="0.25">
      <c r="A24" s="151">
        <v>6</v>
      </c>
      <c r="B24" s="410" t="s">
        <v>163</v>
      </c>
      <c r="C24" s="410"/>
      <c r="D24" s="410"/>
      <c r="E24" s="410"/>
      <c r="F24" s="174" t="s">
        <v>201</v>
      </c>
      <c r="G24" s="122"/>
      <c r="H24" s="347">
        <f>'JMC - 19 (Incent. Margin - #6)'!I16</f>
        <v>-8895.5204982304876</v>
      </c>
      <c r="I24" s="44"/>
      <c r="J24" s="24"/>
      <c r="K24" s="37"/>
    </row>
    <row r="25" spans="1:11" ht="16.5" x14ac:dyDescent="0.25">
      <c r="A25" s="151"/>
      <c r="B25" s="31"/>
      <c r="C25" s="31"/>
      <c r="D25" s="31"/>
      <c r="E25" s="31"/>
      <c r="F25" s="152"/>
      <c r="G25" s="152"/>
      <c r="H25" s="347"/>
      <c r="I25" s="44"/>
      <c r="J25" s="24"/>
      <c r="K25" s="344"/>
    </row>
    <row r="26" spans="1:11" ht="16.5" x14ac:dyDescent="0.25">
      <c r="A26" s="151">
        <v>7</v>
      </c>
      <c r="B26" s="410" t="s">
        <v>46</v>
      </c>
      <c r="C26" s="410"/>
      <c r="D26" s="410"/>
      <c r="E26" s="410"/>
      <c r="F26" s="174" t="s">
        <v>202</v>
      </c>
      <c r="G26" s="122"/>
      <c r="H26" s="347">
        <f>'JMC - 20 (Outside Service - #7)'!J27</f>
        <v>-217.9165625</v>
      </c>
      <c r="I26" s="67"/>
      <c r="J26" s="24"/>
      <c r="K26" s="344"/>
    </row>
    <row r="27" spans="1:11" ht="16.5" x14ac:dyDescent="0.25">
      <c r="A27" s="217"/>
      <c r="B27" s="31"/>
      <c r="C27" s="31"/>
      <c r="D27" s="31"/>
      <c r="E27" s="31"/>
      <c r="F27" s="152"/>
      <c r="G27" s="152"/>
      <c r="H27" s="347"/>
      <c r="I27" s="24"/>
      <c r="J27" s="24"/>
      <c r="K27" s="344"/>
    </row>
    <row r="28" spans="1:11" s="15" customFormat="1" ht="16.5" x14ac:dyDescent="0.25">
      <c r="A28" s="217">
        <v>8</v>
      </c>
      <c r="B28" s="410" t="s">
        <v>106</v>
      </c>
      <c r="C28" s="410"/>
      <c r="D28" s="410"/>
      <c r="E28" s="410"/>
      <c r="F28" s="174" t="s">
        <v>203</v>
      </c>
      <c r="G28" s="122"/>
      <c r="H28" s="348">
        <f>'JMC- 21 (Depreciation - #8)'!I22</f>
        <v>-28083.453604349022</v>
      </c>
      <c r="I28" s="45"/>
      <c r="J28" s="44"/>
      <c r="K28" s="345"/>
    </row>
    <row r="29" spans="1:11" ht="16.5" x14ac:dyDescent="0.25">
      <c r="A29" s="174"/>
      <c r="B29" s="31"/>
      <c r="C29" s="31"/>
      <c r="D29" s="31"/>
      <c r="E29" s="31"/>
      <c r="F29" s="151"/>
      <c r="G29" s="151"/>
      <c r="H29" s="347"/>
      <c r="I29" s="24"/>
      <c r="J29" s="24"/>
      <c r="K29" s="344"/>
    </row>
    <row r="30" spans="1:11" ht="16.5" x14ac:dyDescent="0.25">
      <c r="A30" s="174">
        <v>9</v>
      </c>
      <c r="B30" s="410" t="s">
        <v>182</v>
      </c>
      <c r="C30" s="410"/>
      <c r="D30" s="410"/>
      <c r="E30" s="410"/>
      <c r="F30" s="174" t="s">
        <v>204</v>
      </c>
      <c r="G30" s="122"/>
      <c r="H30" s="347">
        <f>'JMC - 22 (SAVEGREEN - #9)'!H17</f>
        <v>-4638.6823773473934</v>
      </c>
      <c r="I30" s="67"/>
      <c r="J30" s="24"/>
      <c r="K30" s="37"/>
    </row>
    <row r="31" spans="1:11" ht="16.5" x14ac:dyDescent="0.25">
      <c r="A31" s="174"/>
      <c r="B31" s="31"/>
      <c r="C31" s="31"/>
      <c r="D31" s="31"/>
      <c r="E31" s="31"/>
      <c r="F31" s="117"/>
      <c r="G31" s="117"/>
      <c r="H31" s="347"/>
      <c r="I31" s="67"/>
      <c r="J31" s="24"/>
      <c r="K31" s="344"/>
    </row>
    <row r="32" spans="1:11" ht="16.5" x14ac:dyDescent="0.25">
      <c r="A32" s="174">
        <v>10</v>
      </c>
      <c r="B32" s="410" t="s">
        <v>70</v>
      </c>
      <c r="C32" s="410"/>
      <c r="D32" s="410"/>
      <c r="E32" s="410"/>
      <c r="F32" s="174" t="s">
        <v>171</v>
      </c>
      <c r="G32" s="122"/>
      <c r="H32" s="347">
        <f>'JMC - 23 (RE Taxes - #10)'!G19</f>
        <v>-23.108862787919996</v>
      </c>
      <c r="I32" s="67"/>
      <c r="J32" s="24"/>
      <c r="K32" s="344"/>
    </row>
    <row r="33" spans="1:11" ht="16.5" x14ac:dyDescent="0.25">
      <c r="A33" s="174"/>
      <c r="B33" s="31"/>
      <c r="C33" s="31"/>
      <c r="D33" s="31"/>
      <c r="E33" s="31"/>
      <c r="F33" s="117"/>
      <c r="G33" s="117"/>
      <c r="H33" s="347"/>
      <c r="I33" s="67"/>
      <c r="J33" s="24"/>
      <c r="K33" s="344"/>
    </row>
    <row r="34" spans="1:11" ht="16.5" x14ac:dyDescent="0.25">
      <c r="A34" s="174">
        <v>11</v>
      </c>
      <c r="B34" s="410" t="s">
        <v>19</v>
      </c>
      <c r="C34" s="410"/>
      <c r="D34" s="410"/>
      <c r="E34" s="410"/>
      <c r="F34" s="174" t="s">
        <v>139</v>
      </c>
      <c r="G34" s="122"/>
      <c r="H34" s="347">
        <f>'JMC - 24 (Insurance - #11)'!G19</f>
        <v>-229.94309607557307</v>
      </c>
      <c r="I34" s="67"/>
      <c r="J34" s="24"/>
      <c r="K34" s="344"/>
    </row>
    <row r="35" spans="1:11" ht="16.5" x14ac:dyDescent="0.25">
      <c r="A35" s="310"/>
      <c r="B35" s="311"/>
      <c r="C35" s="311"/>
      <c r="D35" s="311"/>
      <c r="E35" s="311"/>
      <c r="F35" s="310"/>
      <c r="G35" s="309"/>
      <c r="H35" s="347"/>
      <c r="I35" s="67"/>
      <c r="J35" s="24"/>
      <c r="K35" s="344"/>
    </row>
    <row r="36" spans="1:11" ht="16.5" x14ac:dyDescent="0.25">
      <c r="A36" s="310">
        <v>12</v>
      </c>
      <c r="B36" s="311" t="s">
        <v>224</v>
      </c>
      <c r="C36" s="311"/>
      <c r="D36" s="311"/>
      <c r="E36" s="311"/>
      <c r="F36" s="310" t="s">
        <v>140</v>
      </c>
      <c r="G36" s="309"/>
      <c r="H36" s="347">
        <f>'JMC - 25 (Annual Review - #12)'!H20</f>
        <v>-830.84380824899972</v>
      </c>
      <c r="I36" s="67"/>
      <c r="J36" s="24"/>
      <c r="K36" s="344"/>
    </row>
    <row r="37" spans="1:11" s="15" customFormat="1" ht="16.5" x14ac:dyDescent="0.25">
      <c r="A37" s="186"/>
      <c r="B37" s="31"/>
      <c r="C37" s="31"/>
      <c r="D37" s="31"/>
      <c r="E37" s="31"/>
      <c r="F37" s="190"/>
      <c r="G37" s="190"/>
      <c r="H37" s="348"/>
      <c r="I37" s="45"/>
      <c r="J37" s="44"/>
      <c r="K37" s="345"/>
    </row>
    <row r="38" spans="1:11" ht="16.5" x14ac:dyDescent="0.25">
      <c r="A38" s="292">
        <v>13</v>
      </c>
      <c r="B38" s="369" t="s">
        <v>209</v>
      </c>
      <c r="C38" s="294"/>
      <c r="D38" s="294"/>
      <c r="E38" s="294"/>
      <c r="F38" s="293" t="s">
        <v>222</v>
      </c>
      <c r="G38" s="2"/>
      <c r="H38" s="348">
        <f>'JMC - 26 (NEXT - #13)'!G19</f>
        <v>-2705.9395999999997</v>
      </c>
      <c r="I38" s="77"/>
      <c r="J38" s="2"/>
      <c r="K38" s="37"/>
    </row>
    <row r="39" spans="1:11" s="15" customFormat="1" ht="16.5" x14ac:dyDescent="0.25">
      <c r="A39" s="292"/>
      <c r="B39" s="31"/>
      <c r="C39" s="31"/>
      <c r="D39" s="31"/>
      <c r="E39" s="31"/>
      <c r="F39" s="244"/>
      <c r="G39" s="244"/>
      <c r="H39" s="348"/>
      <c r="I39" s="45"/>
      <c r="J39" s="44"/>
      <c r="K39" s="345"/>
    </row>
    <row r="40" spans="1:11" s="15" customFormat="1" ht="16.5" x14ac:dyDescent="0.25">
      <c r="A40" s="297">
        <v>14</v>
      </c>
      <c r="B40" s="31" t="s">
        <v>223</v>
      </c>
      <c r="C40" s="31"/>
      <c r="D40" s="31"/>
      <c r="E40" s="31"/>
      <c r="F40" s="298" t="s">
        <v>210</v>
      </c>
      <c r="G40" s="244"/>
      <c r="H40" s="348">
        <f>'JMC - 27 (Revenue Adjust - #14)'!G21</f>
        <v>-196.63042676328877</v>
      </c>
      <c r="I40" s="45"/>
      <c r="J40" s="44"/>
      <c r="K40" s="345"/>
    </row>
    <row r="41" spans="1:11" s="15" customFormat="1" ht="16.5" x14ac:dyDescent="0.25">
      <c r="A41" s="352"/>
      <c r="B41" s="31"/>
      <c r="C41" s="31"/>
      <c r="D41" s="31"/>
      <c r="E41" s="31"/>
      <c r="F41" s="353"/>
      <c r="G41" s="244"/>
      <c r="H41" s="348"/>
      <c r="I41" s="45"/>
      <c r="J41" s="44"/>
      <c r="K41" s="345"/>
    </row>
    <row r="42" spans="1:11" s="15" customFormat="1" ht="16.5" x14ac:dyDescent="0.25">
      <c r="A42" s="336">
        <v>15</v>
      </c>
      <c r="B42" s="338" t="s">
        <v>246</v>
      </c>
      <c r="C42" s="338"/>
      <c r="D42" s="338"/>
      <c r="E42" s="338"/>
      <c r="F42" s="337" t="s">
        <v>215</v>
      </c>
      <c r="G42" s="244"/>
      <c r="H42" s="348">
        <f>'JMC - 28 (Rate Case Exp. - #15)'!G19</f>
        <v>81.600362024999995</v>
      </c>
      <c r="I42" s="45"/>
      <c r="J42" s="44"/>
      <c r="K42" s="345"/>
    </row>
    <row r="43" spans="1:11" s="15" customFormat="1" ht="16.5" x14ac:dyDescent="0.25">
      <c r="A43" s="352"/>
      <c r="B43" s="31"/>
      <c r="C43" s="31"/>
      <c r="D43" s="31"/>
      <c r="E43" s="31"/>
      <c r="F43" s="353"/>
      <c r="G43" s="244"/>
      <c r="H43" s="348"/>
      <c r="I43" s="45"/>
      <c r="J43" s="44"/>
      <c r="K43" s="345"/>
    </row>
    <row r="44" spans="1:11" s="15" customFormat="1" ht="16.5" x14ac:dyDescent="0.25">
      <c r="A44" s="186">
        <v>16</v>
      </c>
      <c r="B44" s="410" t="s">
        <v>159</v>
      </c>
      <c r="C44" s="410"/>
      <c r="D44" s="410"/>
      <c r="E44" s="410"/>
      <c r="F44" s="188" t="s">
        <v>214</v>
      </c>
      <c r="G44" s="190"/>
      <c r="H44" s="348">
        <f>'JMC - 29 (Cap. Add. - #16)'!H35</f>
        <v>-3155.4846432406025</v>
      </c>
      <c r="I44" s="45"/>
      <c r="J44" s="44"/>
      <c r="K44" s="45"/>
    </row>
    <row r="45" spans="1:11" s="15" customFormat="1" ht="16.5" x14ac:dyDescent="0.25">
      <c r="A45" s="234"/>
      <c r="B45" s="31"/>
      <c r="C45" s="31"/>
      <c r="D45" s="31"/>
      <c r="E45" s="31"/>
      <c r="F45" s="235"/>
      <c r="G45" s="236"/>
      <c r="H45" s="348"/>
      <c r="I45" s="45"/>
      <c r="J45" s="44"/>
      <c r="K45" s="45"/>
    </row>
    <row r="46" spans="1:11" s="15" customFormat="1" ht="16.5" x14ac:dyDescent="0.25">
      <c r="A46" s="320">
        <v>17</v>
      </c>
      <c r="B46" s="410" t="s">
        <v>253</v>
      </c>
      <c r="C46" s="410"/>
      <c r="D46" s="410"/>
      <c r="E46" s="410"/>
      <c r="F46" s="321" t="s">
        <v>232</v>
      </c>
      <c r="G46" s="244"/>
      <c r="H46" s="349">
        <f>-'JMC - 30 (SRL - #17)'!H29</f>
        <v>-1428.339692014079</v>
      </c>
      <c r="I46" s="45"/>
      <c r="J46" s="44"/>
      <c r="K46" s="45"/>
    </row>
    <row r="47" spans="1:11" s="15" customFormat="1" ht="16.5" x14ac:dyDescent="0.25">
      <c r="A47" s="320"/>
      <c r="B47" s="31"/>
      <c r="C47" s="31"/>
      <c r="D47" s="31"/>
      <c r="E47" s="31"/>
      <c r="F47" s="321"/>
      <c r="G47" s="244"/>
      <c r="H47" s="45"/>
      <c r="I47" s="45"/>
      <c r="J47" s="44"/>
      <c r="K47" s="45"/>
    </row>
    <row r="48" spans="1:11" ht="16.5" x14ac:dyDescent="0.25">
      <c r="A48" s="2"/>
      <c r="B48" s="9" t="s">
        <v>53</v>
      </c>
      <c r="C48" s="2"/>
      <c r="D48" s="2"/>
      <c r="E48" s="2"/>
      <c r="F48" s="2"/>
      <c r="G48" s="2"/>
      <c r="H48" s="64">
        <f>SUM(H14:H46)</f>
        <v>-52680.541668537495</v>
      </c>
      <c r="I48" s="37"/>
      <c r="J48" s="2"/>
      <c r="K48" s="35"/>
    </row>
    <row r="49" spans="1:18" ht="16.5" x14ac:dyDescent="0.25">
      <c r="A49" s="2"/>
      <c r="B49" s="2"/>
      <c r="C49" s="2"/>
      <c r="D49" s="2"/>
      <c r="E49" s="2"/>
      <c r="F49" s="2"/>
      <c r="G49" s="2"/>
      <c r="H49" s="39"/>
      <c r="I49" s="39"/>
      <c r="J49" s="2"/>
      <c r="K49" s="157"/>
      <c r="L49" s="157"/>
      <c r="M49" s="157"/>
      <c r="N49" s="157"/>
      <c r="O49" s="157"/>
      <c r="P49" s="157"/>
      <c r="Q49" s="157"/>
      <c r="R49" s="157"/>
    </row>
    <row r="50" spans="1:18" ht="17.25" thickBot="1" x14ac:dyDescent="0.3">
      <c r="A50" s="9" t="s">
        <v>82</v>
      </c>
      <c r="B50" s="2"/>
      <c r="C50" s="2"/>
      <c r="D50" s="2"/>
      <c r="E50" s="2"/>
      <c r="F50" s="2"/>
      <c r="G50" s="2"/>
      <c r="H50" s="227">
        <f>H10+H48</f>
        <v>73258.886659099531</v>
      </c>
      <c r="I50" s="78"/>
      <c r="J50" s="2"/>
      <c r="K50" s="78"/>
      <c r="L50" s="78"/>
      <c r="M50" s="78"/>
      <c r="N50" s="78"/>
      <c r="O50" s="78"/>
      <c r="P50" s="78"/>
      <c r="Q50" s="78"/>
      <c r="R50" s="78"/>
    </row>
    <row r="51" spans="1:18" ht="13.5" thickTop="1" x14ac:dyDescent="0.2"/>
    <row r="52" spans="1:18" ht="16.5" x14ac:dyDescent="0.25">
      <c r="A52" s="9"/>
    </row>
    <row r="53" spans="1:18" ht="16.5" x14ac:dyDescent="0.25">
      <c r="A53" s="16"/>
      <c r="B53" s="333"/>
      <c r="C53" s="2"/>
    </row>
    <row r="58" spans="1:18" x14ac:dyDescent="0.2">
      <c r="H58" s="158"/>
      <c r="I58"/>
      <c r="K58"/>
    </row>
  </sheetData>
  <mergeCells count="16">
    <mergeCell ref="B32:E32"/>
    <mergeCell ref="B34:E34"/>
    <mergeCell ref="B44:E44"/>
    <mergeCell ref="B46:E46"/>
    <mergeCell ref="A2:H2"/>
    <mergeCell ref="B14:E14"/>
    <mergeCell ref="B16:E16"/>
    <mergeCell ref="B28:E28"/>
    <mergeCell ref="B30:E30"/>
    <mergeCell ref="B18:E18"/>
    <mergeCell ref="B20:E20"/>
    <mergeCell ref="B22:E22"/>
    <mergeCell ref="B24:E24"/>
    <mergeCell ref="B26:E26"/>
    <mergeCell ref="A5:H5"/>
    <mergeCell ref="A4:H4"/>
  </mergeCells>
  <phoneticPr fontId="2" type="noConversion"/>
  <pageMargins left="1" right="0.25" top="1.25" bottom="0.25" header="0.5" footer="0.5"/>
  <pageSetup scale="83" orientation="portrait" r:id="rId1"/>
  <headerFooter alignWithMargins="0">
    <oddHeader xml:space="preserve">&amp;R&amp;"Arial,Bold"&amp;14EXHIBIT P-3
SCHEDULE JMC-13
UPDATE-1  </oddHeader>
    <oddFooter xml:space="preserve">&amp;C&amp;K000000
</oddFooter>
  </headerFooter>
  <ignoredErrors>
    <ignoredError sqref="A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92D050"/>
    <pageSetUpPr fitToPage="1"/>
  </sheetPr>
  <dimension ref="A3:K61"/>
  <sheetViews>
    <sheetView zoomScaleNormal="100" workbookViewId="0">
      <selection activeCell="E22" sqref="E22"/>
    </sheetView>
  </sheetViews>
  <sheetFormatPr defaultRowHeight="12.75" x14ac:dyDescent="0.2"/>
  <cols>
    <col min="1" max="1" width="8.42578125" customWidth="1"/>
    <col min="2" max="2" width="7.42578125" customWidth="1"/>
    <col min="3" max="3" width="9.42578125" customWidth="1"/>
    <col min="4" max="4" width="24.85546875" customWidth="1"/>
    <col min="5" max="5" width="17.42578125" customWidth="1"/>
    <col min="6" max="6" width="7.7109375" customWidth="1"/>
    <col min="7" max="7" width="21.7109375" style="42" bestFit="1" customWidth="1"/>
    <col min="8" max="8" width="12.5703125" customWidth="1"/>
    <col min="9" max="9" width="12.7109375" bestFit="1" customWidth="1"/>
    <col min="10" max="10" width="12.28515625" customWidth="1"/>
    <col min="11" max="11" width="12.7109375" bestFit="1" customWidth="1"/>
  </cols>
  <sheetData>
    <row r="3" spans="1:11" ht="16.5" x14ac:dyDescent="0.25">
      <c r="A3" s="403" t="s">
        <v>109</v>
      </c>
      <c r="B3" s="403"/>
      <c r="C3" s="403"/>
      <c r="D3" s="403"/>
      <c r="E3" s="403"/>
      <c r="F3" s="403"/>
      <c r="G3" s="403"/>
      <c r="H3" s="49"/>
      <c r="I3" s="49"/>
      <c r="J3" s="49"/>
      <c r="K3" s="49"/>
    </row>
    <row r="4" spans="1:11" ht="16.5" x14ac:dyDescent="0.25">
      <c r="A4" s="27"/>
      <c r="B4" s="27"/>
      <c r="C4" s="27"/>
      <c r="D4" s="27"/>
      <c r="E4" s="27"/>
      <c r="F4" s="27"/>
      <c r="G4" s="43"/>
      <c r="H4" s="27"/>
    </row>
    <row r="5" spans="1:11" ht="16.5" x14ac:dyDescent="0.25">
      <c r="A5" s="396" t="s">
        <v>71</v>
      </c>
      <c r="B5" s="396"/>
      <c r="C5" s="396"/>
      <c r="D5" s="396"/>
      <c r="E5" s="396"/>
      <c r="F5" s="396"/>
      <c r="G5" s="396"/>
      <c r="H5" s="54"/>
      <c r="I5" s="54"/>
      <c r="J5" s="54"/>
      <c r="K5" s="54"/>
    </row>
    <row r="6" spans="1:11" ht="16.5" x14ac:dyDescent="0.25">
      <c r="A6" s="397" t="s">
        <v>86</v>
      </c>
      <c r="B6" s="397"/>
      <c r="C6" s="397"/>
      <c r="D6" s="397"/>
      <c r="E6" s="397"/>
      <c r="F6" s="397"/>
      <c r="G6" s="397"/>
      <c r="H6" s="49"/>
      <c r="I6" s="49"/>
      <c r="J6" s="49"/>
      <c r="K6" s="49"/>
    </row>
    <row r="7" spans="1:11" ht="16.5" x14ac:dyDescent="0.25">
      <c r="A7" s="398" t="s">
        <v>50</v>
      </c>
      <c r="B7" s="398"/>
      <c r="C7" s="398"/>
      <c r="D7" s="398"/>
      <c r="E7" s="398"/>
      <c r="F7" s="398"/>
      <c r="G7" s="398"/>
      <c r="H7" s="50"/>
      <c r="I7" s="50"/>
      <c r="J7" s="50"/>
      <c r="K7" s="50"/>
    </row>
    <row r="8" spans="1:11" ht="16.5" x14ac:dyDescent="0.25">
      <c r="A8" s="144"/>
      <c r="B8" s="144"/>
      <c r="C8" s="144"/>
      <c r="D8" s="144"/>
      <c r="E8" s="144"/>
      <c r="F8" s="144"/>
      <c r="G8" s="144"/>
      <c r="H8" s="50"/>
      <c r="I8" s="50"/>
      <c r="J8" s="50"/>
      <c r="K8" s="50"/>
    </row>
    <row r="9" spans="1:11" ht="16.5" x14ac:dyDescent="0.25">
      <c r="G9" s="52" t="s">
        <v>77</v>
      </c>
    </row>
    <row r="10" spans="1:11" ht="16.5" x14ac:dyDescent="0.25">
      <c r="D10" s="15"/>
      <c r="E10" s="15"/>
      <c r="G10" s="166" t="s">
        <v>249</v>
      </c>
      <c r="H10" s="12"/>
      <c r="J10" s="12"/>
      <c r="K10" s="134"/>
    </row>
    <row r="11" spans="1:11" ht="16.5" x14ac:dyDescent="0.25">
      <c r="A11" s="172" t="s">
        <v>138</v>
      </c>
      <c r="B11" s="171"/>
      <c r="C11" s="171"/>
      <c r="D11" s="171"/>
      <c r="E11" s="171"/>
      <c r="F11" s="2"/>
      <c r="G11"/>
      <c r="K11" s="77"/>
    </row>
    <row r="12" spans="1:11" ht="18" customHeight="1" x14ac:dyDescent="0.25">
      <c r="A12" s="415" t="s">
        <v>304</v>
      </c>
      <c r="B12" s="415"/>
      <c r="C12" s="415"/>
      <c r="D12" s="415"/>
      <c r="E12" s="415"/>
      <c r="F12" s="31"/>
      <c r="G12" s="61">
        <f>[11]Wages!$U$30/1000</f>
        <v>824.38863374738139</v>
      </c>
      <c r="H12" s="15"/>
      <c r="K12" s="98"/>
    </row>
    <row r="13" spans="1:11" ht="18" customHeight="1" x14ac:dyDescent="0.25">
      <c r="A13" s="415" t="s">
        <v>305</v>
      </c>
      <c r="B13" s="415"/>
      <c r="C13" s="415"/>
      <c r="D13" s="415"/>
      <c r="E13" s="415"/>
      <c r="F13" s="2"/>
      <c r="G13" s="44">
        <f>[11]Wages!$X$30/1000</f>
        <v>2687.8304479439707</v>
      </c>
      <c r="H13" s="15"/>
      <c r="K13" s="37"/>
    </row>
    <row r="14" spans="1:11" ht="16.5" x14ac:dyDescent="0.25">
      <c r="A14" s="2"/>
      <c r="B14" s="169"/>
      <c r="C14" s="169"/>
      <c r="D14" s="169"/>
      <c r="E14" s="168"/>
      <c r="F14" s="2"/>
      <c r="G14" s="61"/>
      <c r="H14" s="15"/>
      <c r="K14" s="37"/>
    </row>
    <row r="15" spans="1:11" ht="16.5" x14ac:dyDescent="0.25">
      <c r="A15" s="401" t="s">
        <v>56</v>
      </c>
      <c r="B15" s="401"/>
      <c r="C15" s="401"/>
      <c r="D15" s="401"/>
      <c r="E15" s="401"/>
      <c r="F15" s="2"/>
      <c r="G15" s="22">
        <f>SUM(G12:G13)</f>
        <v>3512.2190816913521</v>
      </c>
      <c r="K15" s="37"/>
    </row>
    <row r="16" spans="1:11" ht="16.5" x14ac:dyDescent="0.25">
      <c r="A16" s="2"/>
      <c r="B16" s="2"/>
      <c r="C16" s="2"/>
      <c r="D16" s="2"/>
      <c r="E16" s="2"/>
      <c r="F16" s="2"/>
      <c r="G16" s="22"/>
      <c r="K16" s="37"/>
    </row>
    <row r="17" spans="1:11" ht="17.25" thickBot="1" x14ac:dyDescent="0.3">
      <c r="A17" s="410" t="s">
        <v>192</v>
      </c>
      <c r="B17" s="410"/>
      <c r="C17" s="410"/>
      <c r="D17" s="410"/>
      <c r="E17" s="410"/>
      <c r="F17" s="31"/>
      <c r="G17" s="286">
        <f>G15*0.2811</f>
        <v>987.28478386343909</v>
      </c>
      <c r="H17" s="86"/>
      <c r="J17" s="86"/>
      <c r="K17" s="45"/>
    </row>
    <row r="18" spans="1:11" ht="16.5" x14ac:dyDescent="0.25">
      <c r="A18" s="2"/>
      <c r="B18" s="2"/>
      <c r="C18" s="2"/>
      <c r="D18" s="2"/>
      <c r="E18" s="2"/>
      <c r="F18" s="2"/>
      <c r="G18" s="22"/>
      <c r="K18" s="37"/>
    </row>
    <row r="19" spans="1:11" ht="17.25" thickBot="1" x14ac:dyDescent="0.3">
      <c r="A19" s="395" t="s">
        <v>84</v>
      </c>
      <c r="B19" s="395"/>
      <c r="C19" s="395"/>
      <c r="D19" s="395"/>
      <c r="E19" s="395"/>
      <c r="F19" s="2"/>
      <c r="G19" s="62">
        <f>G17-G15</f>
        <v>-2524.9342978279128</v>
      </c>
      <c r="K19" s="37"/>
    </row>
    <row r="20" spans="1:11" ht="17.25" thickTop="1" x14ac:dyDescent="0.25">
      <c r="A20" s="2"/>
      <c r="B20" s="2"/>
      <c r="C20" s="2"/>
      <c r="D20" s="2"/>
      <c r="E20" s="2"/>
      <c r="F20" s="2"/>
      <c r="G20" s="22"/>
    </row>
    <row r="21" spans="1:11" ht="16.5" x14ac:dyDescent="0.25">
      <c r="A21" s="9" t="s">
        <v>238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333" t="s">
        <v>283</v>
      </c>
      <c r="D22" s="374" t="s">
        <v>284</v>
      </c>
      <c r="E22" s="2" t="s">
        <v>86</v>
      </c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6.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6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6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6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6.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6.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6.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6.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6.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6.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6.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6.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6.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6.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6.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6.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6.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6.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6.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6.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6.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6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6.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6.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6.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6.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6.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6.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6.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6.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6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6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6.5" x14ac:dyDescent="0.25">
      <c r="A59" s="2"/>
      <c r="B59" s="2"/>
      <c r="C59" s="2"/>
      <c r="D59" s="2"/>
      <c r="E59" s="2"/>
      <c r="F59" s="2"/>
      <c r="G59" s="22"/>
    </row>
    <row r="60" spans="1:11" ht="16.5" x14ac:dyDescent="0.25">
      <c r="A60" s="2"/>
      <c r="B60" s="2"/>
      <c r="C60" s="2"/>
      <c r="D60" s="2"/>
      <c r="E60" s="2"/>
      <c r="F60" s="2"/>
      <c r="G60" s="22"/>
    </row>
    <row r="61" spans="1:11" ht="16.5" x14ac:dyDescent="0.25">
      <c r="A61" s="2"/>
      <c r="B61" s="2"/>
      <c r="C61" s="2"/>
      <c r="D61" s="2"/>
      <c r="E61" s="2"/>
      <c r="F61" s="2"/>
      <c r="G61" s="22"/>
    </row>
  </sheetData>
  <mergeCells count="9">
    <mergeCell ref="A19:E19"/>
    <mergeCell ref="A3:G3"/>
    <mergeCell ref="A7:G7"/>
    <mergeCell ref="A6:G6"/>
    <mergeCell ref="A5:G5"/>
    <mergeCell ref="A12:E12"/>
    <mergeCell ref="A15:E15"/>
    <mergeCell ref="A17:E17"/>
    <mergeCell ref="A13:E13"/>
  </mergeCells>
  <phoneticPr fontId="2" type="noConversion"/>
  <pageMargins left="0.5" right="0.25" top="1.25" bottom="0.25" header="0.5" footer="0.5"/>
  <pageSetup orientation="portrait" r:id="rId1"/>
  <headerFooter alignWithMargins="0">
    <oddHeader xml:space="preserve">&amp;R&amp;"Arial,Bold"&amp;14EXHIBIT P-3
SCHEDULE JMC-14
UPDATE-1  </oddHeader>
    <oddFooter xml:space="preserve">&amp;C&amp;K000000
</oddFooter>
  </headerFooter>
  <ignoredErrors>
    <ignoredError sqref="A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92D050"/>
    <pageSetUpPr fitToPage="1"/>
  </sheetPr>
  <dimension ref="A3:L22"/>
  <sheetViews>
    <sheetView zoomScaleNormal="100" workbookViewId="0">
      <selection activeCell="E22" sqref="E22"/>
    </sheetView>
  </sheetViews>
  <sheetFormatPr defaultRowHeight="12.75" x14ac:dyDescent="0.2"/>
  <cols>
    <col min="1" max="1" width="14.140625" customWidth="1"/>
    <col min="2" max="3" width="11" customWidth="1"/>
    <col min="4" max="4" width="7.5703125" customWidth="1"/>
    <col min="5" max="5" width="8.140625" customWidth="1"/>
    <col min="6" max="6" width="11.85546875" customWidth="1"/>
    <col min="7" max="7" width="6.28515625" customWidth="1"/>
    <col min="8" max="8" width="21.7109375" style="40" bestFit="1" customWidth="1"/>
    <col min="9" max="9" width="10.140625" customWidth="1"/>
    <col min="10" max="10" width="10.140625" bestFit="1" customWidth="1"/>
    <col min="11" max="11" width="5.28515625" customWidth="1"/>
    <col min="12" max="12" width="11.42578125" bestFit="1" customWidth="1"/>
  </cols>
  <sheetData>
    <row r="3" spans="1:12" ht="16.5" x14ac:dyDescent="0.25">
      <c r="A3" s="403" t="s">
        <v>123</v>
      </c>
      <c r="B3" s="397"/>
      <c r="C3" s="397"/>
      <c r="D3" s="397"/>
      <c r="E3" s="397"/>
      <c r="F3" s="397"/>
      <c r="G3" s="397"/>
      <c r="H3" s="397"/>
      <c r="I3" s="49"/>
      <c r="J3" s="49"/>
      <c r="K3" s="49"/>
      <c r="L3" s="49"/>
    </row>
    <row r="4" spans="1:12" ht="16.5" x14ac:dyDescent="0.25">
      <c r="A4" s="27"/>
      <c r="B4" s="27"/>
      <c r="C4" s="27"/>
      <c r="D4" s="27"/>
      <c r="E4" s="27"/>
      <c r="F4" s="118"/>
      <c r="G4" s="27"/>
      <c r="H4" s="41"/>
      <c r="I4" s="27"/>
    </row>
    <row r="5" spans="1:12" ht="16.5" x14ac:dyDescent="0.25">
      <c r="A5" s="396" t="s">
        <v>55</v>
      </c>
      <c r="B5" s="396"/>
      <c r="C5" s="396"/>
      <c r="D5" s="396"/>
      <c r="E5" s="396"/>
      <c r="F5" s="396"/>
      <c r="G5" s="396"/>
      <c r="H5" s="396"/>
      <c r="I5" s="54"/>
      <c r="J5" s="54"/>
      <c r="K5" s="54"/>
      <c r="L5" s="54"/>
    </row>
    <row r="6" spans="1:12" ht="16.5" x14ac:dyDescent="0.25">
      <c r="A6" s="397" t="s">
        <v>87</v>
      </c>
      <c r="B6" s="397"/>
      <c r="C6" s="397"/>
      <c r="D6" s="397"/>
      <c r="E6" s="397"/>
      <c r="F6" s="397"/>
      <c r="G6" s="397"/>
      <c r="H6" s="397"/>
      <c r="I6" s="49"/>
      <c r="J6" s="49"/>
      <c r="K6" s="49"/>
      <c r="L6" s="49"/>
    </row>
    <row r="7" spans="1:12" ht="16.5" x14ac:dyDescent="0.25">
      <c r="A7" s="398" t="s">
        <v>50</v>
      </c>
      <c r="B7" s="398"/>
      <c r="C7" s="398"/>
      <c r="D7" s="398"/>
      <c r="E7" s="398"/>
      <c r="F7" s="398"/>
      <c r="G7" s="398"/>
      <c r="H7" s="398"/>
      <c r="I7" s="50"/>
      <c r="J7" s="50"/>
      <c r="K7" s="50"/>
      <c r="L7" s="50"/>
    </row>
    <row r="8" spans="1:12" ht="16.5" x14ac:dyDescent="0.25">
      <c r="A8" s="144"/>
      <c r="B8" s="144"/>
      <c r="C8" s="144"/>
      <c r="D8" s="144"/>
      <c r="E8" s="144"/>
      <c r="F8" s="144"/>
      <c r="G8" s="144"/>
      <c r="H8" s="144"/>
      <c r="I8" s="50"/>
      <c r="J8" s="50"/>
      <c r="K8" s="50"/>
      <c r="L8" s="50"/>
    </row>
    <row r="9" spans="1:12" ht="16.5" x14ac:dyDescent="0.25">
      <c r="A9" s="3"/>
      <c r="B9" s="3"/>
      <c r="C9" s="3"/>
      <c r="D9" s="3"/>
      <c r="E9" s="3"/>
      <c r="F9" s="119"/>
      <c r="G9" s="3"/>
      <c r="H9" s="52" t="s">
        <v>77</v>
      </c>
      <c r="I9" s="3"/>
      <c r="J9" s="3"/>
      <c r="K9" s="3"/>
      <c r="L9" s="3"/>
    </row>
    <row r="10" spans="1:12" ht="16.5" x14ac:dyDescent="0.25">
      <c r="A10" s="2"/>
      <c r="B10" s="2"/>
      <c r="C10" s="2"/>
      <c r="D10" s="2"/>
      <c r="E10" s="2"/>
      <c r="F10" s="2"/>
      <c r="G10" s="2"/>
      <c r="H10" s="166" t="s">
        <v>249</v>
      </c>
      <c r="I10" s="12"/>
      <c r="K10" s="12"/>
      <c r="L10" s="127"/>
    </row>
    <row r="11" spans="1:12" ht="16.5" x14ac:dyDescent="0.25">
      <c r="A11" s="173" t="s">
        <v>138</v>
      </c>
      <c r="B11" s="171"/>
      <c r="C11" s="171"/>
      <c r="D11" s="171"/>
      <c r="E11" s="171"/>
      <c r="F11" s="2"/>
      <c r="G11" s="2"/>
      <c r="H11" s="39"/>
      <c r="I11" s="2"/>
      <c r="L11" s="77"/>
    </row>
    <row r="12" spans="1:12" ht="16.5" x14ac:dyDescent="0.25">
      <c r="A12" s="416" t="s">
        <v>304</v>
      </c>
      <c r="B12" s="416"/>
      <c r="C12" s="416"/>
      <c r="D12" s="416"/>
      <c r="E12" s="416"/>
      <c r="F12" s="416"/>
      <c r="G12" s="31"/>
      <c r="H12" s="61">
        <f>'JMC - 14 (Wages - #1)'!G12*0.0765</f>
        <v>63.065730481674677</v>
      </c>
      <c r="I12" s="31"/>
      <c r="L12" s="98"/>
    </row>
    <row r="13" spans="1:12" ht="16.5" x14ac:dyDescent="0.25">
      <c r="A13" s="416" t="s">
        <v>305</v>
      </c>
      <c r="B13" s="416"/>
      <c r="C13" s="416"/>
      <c r="D13" s="416"/>
      <c r="E13" s="416"/>
      <c r="F13" s="416"/>
      <c r="G13" s="31"/>
      <c r="H13" s="46">
        <f>'JMC - 14 (Wages - #1)'!G13*0.0765</f>
        <v>205.61902926771376</v>
      </c>
      <c r="I13" s="31"/>
      <c r="L13" s="98"/>
    </row>
    <row r="14" spans="1:12" ht="16.5" x14ac:dyDescent="0.25">
      <c r="A14" s="2"/>
      <c r="B14" s="2"/>
      <c r="C14" s="2"/>
      <c r="D14" s="2"/>
      <c r="E14" s="2"/>
      <c r="F14" s="2"/>
      <c r="G14" s="2"/>
      <c r="H14" s="22"/>
      <c r="I14" s="2"/>
      <c r="L14" s="37"/>
    </row>
    <row r="15" spans="1:12" ht="16.5" x14ac:dyDescent="0.25">
      <c r="A15" s="401" t="s">
        <v>56</v>
      </c>
      <c r="B15" s="401"/>
      <c r="C15" s="401"/>
      <c r="D15" s="401"/>
      <c r="E15" s="401"/>
      <c r="F15" s="401"/>
      <c r="G15" s="2"/>
      <c r="H15" s="22">
        <f>SUM(H12:H13)</f>
        <v>268.68475974938843</v>
      </c>
      <c r="I15" s="2"/>
      <c r="L15" s="37"/>
    </row>
    <row r="16" spans="1:12" ht="16.5" x14ac:dyDescent="0.25">
      <c r="A16" s="2"/>
      <c r="B16" s="2"/>
      <c r="C16" s="2"/>
      <c r="D16" s="2"/>
      <c r="E16" s="2"/>
      <c r="F16" s="2"/>
      <c r="G16" s="2"/>
      <c r="H16"/>
      <c r="I16" s="2"/>
      <c r="L16" s="93"/>
    </row>
    <row r="17" spans="1:12" ht="17.25" thickBot="1" x14ac:dyDescent="0.3">
      <c r="A17" s="410" t="s">
        <v>192</v>
      </c>
      <c r="B17" s="410"/>
      <c r="C17" s="410"/>
      <c r="D17" s="410"/>
      <c r="E17" s="410"/>
      <c r="F17" s="410"/>
      <c r="G17" s="31"/>
      <c r="H17" s="286">
        <f>H15*0.2811</f>
        <v>75.527285965553091</v>
      </c>
      <c r="I17" s="24"/>
      <c r="K17" s="86"/>
      <c r="L17" s="45"/>
    </row>
    <row r="18" spans="1:12" ht="16.5" x14ac:dyDescent="0.25">
      <c r="A18" s="2"/>
      <c r="B18" s="2"/>
      <c r="C18" s="2"/>
      <c r="D18" s="2"/>
      <c r="E18" s="2"/>
      <c r="F18" s="2"/>
      <c r="G18" s="2"/>
      <c r="H18" s="22"/>
      <c r="I18" s="2"/>
      <c r="L18" s="37"/>
    </row>
    <row r="19" spans="1:12" ht="17.25" thickBot="1" x14ac:dyDescent="0.3">
      <c r="A19" s="395" t="s">
        <v>84</v>
      </c>
      <c r="B19" s="395"/>
      <c r="C19" s="395"/>
      <c r="D19" s="395"/>
      <c r="E19" s="395"/>
      <c r="F19" s="395"/>
      <c r="G19" s="2"/>
      <c r="H19" s="62">
        <f>H17-H15</f>
        <v>-193.15747378383534</v>
      </c>
      <c r="I19" s="2"/>
      <c r="L19" s="37"/>
    </row>
    <row r="20" spans="1:12" ht="17.25" thickTop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2" ht="16.5" x14ac:dyDescent="0.25">
      <c r="A21" s="9"/>
    </row>
    <row r="22" spans="1:12" ht="16.5" x14ac:dyDescent="0.25">
      <c r="B22" s="333"/>
      <c r="C22" s="2"/>
    </row>
  </sheetData>
  <mergeCells count="9">
    <mergeCell ref="A5:H5"/>
    <mergeCell ref="A3:H3"/>
    <mergeCell ref="A12:F12"/>
    <mergeCell ref="A17:F17"/>
    <mergeCell ref="A19:F19"/>
    <mergeCell ref="A7:H7"/>
    <mergeCell ref="A6:H6"/>
    <mergeCell ref="A15:F15"/>
    <mergeCell ref="A13:F13"/>
  </mergeCells>
  <phoneticPr fontId="2" type="noConversion"/>
  <pageMargins left="0.5" right="0.25" top="1.25" bottom="0.25" header="0.5" footer="0.5"/>
  <pageSetup orientation="portrait" r:id="rId1"/>
  <headerFooter alignWithMargins="0">
    <oddHeader xml:space="preserve">&amp;R&amp;"Arial,Bold"&amp;14EXHIBIT P-3
SCHEDULE JMC-15
UPDATE-1  </oddHeader>
    <oddFooter xml:space="preserve">&amp;C&amp;K000000
</oddFooter>
  </headerFooter>
  <ignoredErrors>
    <ignoredError sqref="A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92D050"/>
    <pageSetUpPr fitToPage="1"/>
  </sheetPr>
  <dimension ref="A3:H28"/>
  <sheetViews>
    <sheetView zoomScaleNormal="100" workbookViewId="0">
      <selection activeCell="E22" sqref="E22"/>
    </sheetView>
  </sheetViews>
  <sheetFormatPr defaultRowHeight="16.5" x14ac:dyDescent="0.25"/>
  <cols>
    <col min="1" max="1" width="38.42578125" style="2" bestFit="1" customWidth="1"/>
    <col min="2" max="2" width="14.140625" style="2" bestFit="1" customWidth="1"/>
    <col min="3" max="3" width="15.5703125" style="2" customWidth="1"/>
    <col min="4" max="4" width="20.140625" style="2" customWidth="1"/>
    <col min="5" max="5" width="4.85546875" style="2" customWidth="1"/>
    <col min="6" max="6" width="15.7109375" style="2" customWidth="1"/>
    <col min="7" max="7" width="9.140625" style="2"/>
    <col min="8" max="8" width="14.85546875" style="2" bestFit="1" customWidth="1"/>
    <col min="9" max="16384" width="9.140625" style="2"/>
  </cols>
  <sheetData>
    <row r="3" spans="1:6" x14ac:dyDescent="0.25">
      <c r="A3" s="403" t="s">
        <v>109</v>
      </c>
      <c r="B3" s="397"/>
      <c r="C3" s="397"/>
      <c r="D3" s="397"/>
      <c r="E3" s="397"/>
      <c r="F3" s="397"/>
    </row>
    <row r="5" spans="1:6" x14ac:dyDescent="0.25">
      <c r="A5" s="395" t="s">
        <v>57</v>
      </c>
      <c r="B5" s="395"/>
      <c r="C5" s="395"/>
      <c r="D5" s="395"/>
      <c r="E5" s="395"/>
      <c r="F5" s="417"/>
    </row>
    <row r="6" spans="1:6" x14ac:dyDescent="0.25">
      <c r="A6" s="397" t="s">
        <v>23</v>
      </c>
      <c r="B6" s="397"/>
      <c r="C6" s="397"/>
      <c r="D6" s="397"/>
      <c r="E6" s="397"/>
      <c r="F6" s="397"/>
    </row>
    <row r="7" spans="1:6" x14ac:dyDescent="0.25">
      <c r="A7" s="398" t="s">
        <v>50</v>
      </c>
      <c r="B7" s="398"/>
      <c r="C7" s="398"/>
      <c r="D7" s="398"/>
      <c r="E7" s="398"/>
      <c r="F7" s="398"/>
    </row>
    <row r="10" spans="1:6" x14ac:dyDescent="0.25">
      <c r="A10" s="12" t="s">
        <v>0</v>
      </c>
      <c r="E10" s="4"/>
      <c r="F10" s="22">
        <f>'JMC - 2 (Rate Base)'!E28</f>
        <v>2540201.3328118362</v>
      </c>
    </row>
    <row r="11" spans="1:6" ht="33" x14ac:dyDescent="0.25">
      <c r="B11" s="33" t="s">
        <v>25</v>
      </c>
      <c r="C11" s="34" t="s">
        <v>26</v>
      </c>
      <c r="D11" s="34" t="s">
        <v>27</v>
      </c>
      <c r="E11" s="8"/>
    </row>
    <row r="13" spans="1:6" x14ac:dyDescent="0.25">
      <c r="A13" s="285" t="s">
        <v>28</v>
      </c>
      <c r="B13" s="285"/>
    </row>
    <row r="14" spans="1:6" x14ac:dyDescent="0.25">
      <c r="A14" s="2" t="s">
        <v>29</v>
      </c>
      <c r="B14" s="301">
        <f>'JMC - 3 (WACC)'!E12</f>
        <v>0.43789804159016332</v>
      </c>
      <c r="C14" s="301">
        <f>'JMC - 3 (WACC)'!G12</f>
        <v>3.5721795918650164E-2</v>
      </c>
      <c r="D14" s="14">
        <f>'JMC - 3 (WACC)'!I12</f>
        <v>1.5642504474860396E-2</v>
      </c>
    </row>
    <row r="15" spans="1:6" x14ac:dyDescent="0.25">
      <c r="B15" s="13"/>
      <c r="C15" s="13"/>
      <c r="D15" s="14"/>
    </row>
    <row r="16" spans="1:6" x14ac:dyDescent="0.25">
      <c r="A16" s="2" t="s">
        <v>30</v>
      </c>
      <c r="F16" s="55">
        <f>SUM(D14:D14)</f>
        <v>1.5642504474860396E-2</v>
      </c>
    </row>
    <row r="17" spans="1:8" x14ac:dyDescent="0.25">
      <c r="A17" s="399"/>
      <c r="B17" s="399"/>
    </row>
    <row r="19" spans="1:8" x14ac:dyDescent="0.25">
      <c r="A19" s="2" t="s">
        <v>31</v>
      </c>
      <c r="F19" s="22">
        <f>F10*F16</f>
        <v>39735.110715555486</v>
      </c>
      <c r="H19" s="66"/>
    </row>
    <row r="20" spans="1:8" x14ac:dyDescent="0.25">
      <c r="A20" s="2" t="s">
        <v>32</v>
      </c>
      <c r="F20" s="46">
        <f>'[10]FERC IS'!$U$190/1000</f>
        <v>34558.528913109978</v>
      </c>
      <c r="G20" s="299"/>
      <c r="H20" s="299"/>
    </row>
    <row r="22" spans="1:8" x14ac:dyDescent="0.25">
      <c r="A22" s="2" t="s">
        <v>73</v>
      </c>
      <c r="F22" s="22">
        <f>F19-F20</f>
        <v>5176.5818024455075</v>
      </c>
    </row>
    <row r="23" spans="1:8" x14ac:dyDescent="0.25">
      <c r="A23" s="2" t="s">
        <v>33</v>
      </c>
      <c r="F23" s="287">
        <v>0.28110000000000002</v>
      </c>
    </row>
    <row r="25" spans="1:8" ht="17.25" thickBot="1" x14ac:dyDescent="0.3">
      <c r="A25" s="9" t="s">
        <v>84</v>
      </c>
      <c r="F25" s="91">
        <f>F22*F23</f>
        <v>1455.1371446674323</v>
      </c>
    </row>
    <row r="26" spans="1:8" ht="17.25" thickTop="1" x14ac:dyDescent="0.25"/>
    <row r="27" spans="1:8" x14ac:dyDescent="0.25">
      <c r="A27" s="9" t="s">
        <v>238</v>
      </c>
    </row>
    <row r="28" spans="1:8" x14ac:dyDescent="0.25">
      <c r="A28" s="333" t="s">
        <v>283</v>
      </c>
      <c r="B28" s="399" t="s">
        <v>285</v>
      </c>
      <c r="C28" s="399"/>
      <c r="D28" s="2" t="s">
        <v>275</v>
      </c>
    </row>
  </sheetData>
  <mergeCells count="6">
    <mergeCell ref="B28:C28"/>
    <mergeCell ref="A17:B17"/>
    <mergeCell ref="A3:F3"/>
    <mergeCell ref="A6:F6"/>
    <mergeCell ref="A7:F7"/>
    <mergeCell ref="A5:F5"/>
  </mergeCells>
  <phoneticPr fontId="2" type="noConversion"/>
  <pageMargins left="1" right="0.25" top="1.25" bottom="0.25" header="0.5" footer="0.5"/>
  <pageSetup scale="79" orientation="portrait" r:id="rId1"/>
  <headerFooter alignWithMargins="0">
    <oddHeader xml:space="preserve">&amp;R&amp;"Arial,Bold"&amp;14EXHIBIT P-3
SCHEDULE JMC-16
UPDATE-1  </oddHeader>
    <oddFooter xml:space="preserve">&amp;C&amp;K000000
</oddFooter>
  </headerFooter>
  <ignoredErrors>
    <ignoredError sqref="A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92D050"/>
    <pageSetUpPr fitToPage="1"/>
  </sheetPr>
  <dimension ref="A3:O39"/>
  <sheetViews>
    <sheetView topLeftCell="A4" zoomScaleNormal="100" workbookViewId="0">
      <selection activeCell="E22" sqref="E22"/>
    </sheetView>
  </sheetViews>
  <sheetFormatPr defaultRowHeight="12.75" x14ac:dyDescent="0.2"/>
  <cols>
    <col min="1" max="1" width="22.85546875" customWidth="1"/>
    <col min="2" max="2" width="11.42578125" customWidth="1"/>
    <col min="3" max="3" width="13.42578125" customWidth="1"/>
    <col min="5" max="5" width="5.140625" customWidth="1"/>
    <col min="6" max="6" width="4.85546875" customWidth="1"/>
    <col min="7" max="8" width="8.28515625" customWidth="1"/>
    <col min="9" max="9" width="16" customWidth="1"/>
    <col min="10" max="10" width="4.28515625" customWidth="1"/>
    <col min="11" max="11" width="15.7109375" customWidth="1"/>
    <col min="12" max="12" width="6" customWidth="1"/>
    <col min="13" max="13" width="15.140625" customWidth="1"/>
    <col min="14" max="14" width="4.7109375" customWidth="1"/>
    <col min="15" max="15" width="14.85546875" bestFit="1" customWidth="1"/>
  </cols>
  <sheetData>
    <row r="3" spans="1:15" ht="16.5" x14ac:dyDescent="0.25">
      <c r="A3" s="403" t="s">
        <v>109</v>
      </c>
      <c r="B3" s="397"/>
      <c r="C3" s="397"/>
      <c r="D3" s="397"/>
      <c r="E3" s="397"/>
      <c r="F3" s="397"/>
      <c r="G3" s="397"/>
      <c r="H3" s="397"/>
      <c r="I3" s="397"/>
      <c r="J3" s="49"/>
      <c r="K3" s="49"/>
      <c r="L3" s="49"/>
      <c r="M3" s="49"/>
      <c r="N3" s="49"/>
      <c r="O3" s="49"/>
    </row>
    <row r="4" spans="1:15" ht="16.5" x14ac:dyDescent="0.25">
      <c r="A4" s="27"/>
      <c r="B4" s="27"/>
      <c r="C4" s="27"/>
      <c r="D4" s="27"/>
      <c r="E4" s="27"/>
      <c r="F4" s="27"/>
      <c r="G4" s="118"/>
      <c r="H4" s="27"/>
      <c r="I4" s="27"/>
    </row>
    <row r="5" spans="1:15" ht="16.5" x14ac:dyDescent="0.25">
      <c r="A5" s="396" t="s">
        <v>72</v>
      </c>
      <c r="B5" s="396"/>
      <c r="C5" s="396"/>
      <c r="D5" s="396"/>
      <c r="E5" s="396"/>
      <c r="F5" s="396"/>
      <c r="G5" s="396"/>
      <c r="H5" s="396"/>
      <c r="I5" s="396"/>
      <c r="J5" s="54"/>
      <c r="K5" s="54"/>
      <c r="L5" s="54"/>
      <c r="M5" s="54"/>
      <c r="N5" s="54"/>
      <c r="O5" s="54"/>
    </row>
    <row r="6" spans="1:15" ht="16.5" x14ac:dyDescent="0.25">
      <c r="A6" s="397" t="s">
        <v>67</v>
      </c>
      <c r="B6" s="397"/>
      <c r="C6" s="397"/>
      <c r="D6" s="397"/>
      <c r="E6" s="397"/>
      <c r="F6" s="397"/>
      <c r="G6" s="397"/>
      <c r="H6" s="397"/>
      <c r="I6" s="397"/>
      <c r="J6" s="49"/>
      <c r="K6" s="49"/>
      <c r="L6" s="49"/>
      <c r="M6" s="49"/>
      <c r="N6" s="49"/>
      <c r="O6" s="49"/>
    </row>
    <row r="7" spans="1:15" ht="16.5" x14ac:dyDescent="0.25">
      <c r="A7" s="398" t="s">
        <v>50</v>
      </c>
      <c r="B7" s="398"/>
      <c r="C7" s="398"/>
      <c r="D7" s="398"/>
      <c r="E7" s="398"/>
      <c r="F7" s="398"/>
      <c r="G7" s="398"/>
      <c r="H7" s="398"/>
      <c r="I7" s="398"/>
      <c r="J7" s="50"/>
      <c r="K7" s="50"/>
      <c r="L7" s="50"/>
      <c r="M7" s="50"/>
      <c r="N7" s="50"/>
      <c r="O7" s="50"/>
    </row>
    <row r="8" spans="1:15" ht="16.5" x14ac:dyDescent="0.25">
      <c r="A8" s="2"/>
      <c r="B8" s="2"/>
      <c r="C8" s="2"/>
      <c r="D8" s="2"/>
      <c r="E8" s="2"/>
      <c r="F8" s="2"/>
      <c r="G8" s="2"/>
      <c r="H8" s="2"/>
      <c r="I8" s="138"/>
      <c r="L8" s="12"/>
      <c r="M8" s="127"/>
      <c r="N8" s="12"/>
    </row>
    <row r="9" spans="1:15" ht="16.5" x14ac:dyDescent="0.25">
      <c r="A9" s="2"/>
      <c r="B9" s="2"/>
      <c r="C9" s="2"/>
      <c r="D9" s="2"/>
      <c r="E9" s="2"/>
      <c r="F9" s="2"/>
      <c r="G9" s="2"/>
      <c r="H9" s="2"/>
      <c r="I9" s="222"/>
      <c r="J9" s="2"/>
      <c r="M9" s="63"/>
    </row>
    <row r="10" spans="1:15" ht="16.5" x14ac:dyDescent="0.25">
      <c r="A10" s="65" t="s">
        <v>250</v>
      </c>
      <c r="B10" s="401" t="s">
        <v>195</v>
      </c>
      <c r="C10" s="401"/>
      <c r="D10" s="401"/>
      <c r="E10" s="401"/>
      <c r="F10" s="401"/>
      <c r="G10" s="2"/>
      <c r="H10" s="2"/>
      <c r="I10" s="97">
        <v>7230.6769999999997</v>
      </c>
      <c r="J10" s="109"/>
      <c r="K10" s="302"/>
      <c r="M10" s="97"/>
    </row>
    <row r="11" spans="1:15" ht="16.5" x14ac:dyDescent="0.25">
      <c r="A11" s="2"/>
      <c r="B11" s="401" t="s">
        <v>47</v>
      </c>
      <c r="C11" s="401"/>
      <c r="D11" s="401"/>
      <c r="E11" s="401"/>
      <c r="F11" s="401"/>
      <c r="G11" s="2"/>
      <c r="H11" s="2"/>
      <c r="I11" s="110">
        <v>6349.5690000000004</v>
      </c>
      <c r="J11" s="106"/>
      <c r="K11" s="303"/>
      <c r="L11" s="86"/>
      <c r="M11" s="110"/>
      <c r="N11" s="86"/>
    </row>
    <row r="12" spans="1:15" ht="16.5" x14ac:dyDescent="0.25">
      <c r="A12" s="2"/>
      <c r="B12" s="401" t="s">
        <v>256</v>
      </c>
      <c r="C12" s="401"/>
      <c r="D12" s="401"/>
      <c r="E12" s="401"/>
      <c r="F12" s="401"/>
      <c r="G12" s="2"/>
      <c r="H12" s="2"/>
      <c r="I12" s="110">
        <f>'[12]Pension &amp; Benefits'!$AB$30/1000</f>
        <v>11969.196</v>
      </c>
      <c r="J12" s="24"/>
      <c r="K12" s="303"/>
      <c r="L12" s="86"/>
      <c r="M12" s="110"/>
      <c r="N12" s="86"/>
    </row>
    <row r="13" spans="1:15" ht="16.5" x14ac:dyDescent="0.25">
      <c r="A13" s="2"/>
      <c r="B13" s="401" t="s">
        <v>257</v>
      </c>
      <c r="C13" s="401"/>
      <c r="D13" s="401"/>
      <c r="E13" s="401"/>
      <c r="F13" s="401"/>
      <c r="G13" s="2"/>
      <c r="H13" s="2"/>
      <c r="I13" s="110">
        <f>'[12]Pension &amp; Benefits'!$AB$32/1000</f>
        <v>618.46799999999996</v>
      </c>
      <c r="J13" s="24"/>
      <c r="K13" s="303"/>
      <c r="L13" s="86"/>
      <c r="M13" s="110"/>
      <c r="N13" s="86"/>
    </row>
    <row r="14" spans="1:15" ht="16.5" x14ac:dyDescent="0.25">
      <c r="A14" s="2"/>
      <c r="B14" s="242" t="s">
        <v>177</v>
      </c>
      <c r="C14" s="242"/>
      <c r="D14" s="242"/>
      <c r="E14" s="242"/>
      <c r="F14" s="242"/>
      <c r="G14" s="2"/>
      <c r="H14" s="2"/>
      <c r="I14" s="105">
        <f>-5512822/1000</f>
        <v>-5512.8220000000001</v>
      </c>
      <c r="J14" s="24"/>
      <c r="K14" s="303"/>
      <c r="L14" s="86"/>
      <c r="M14" s="110"/>
      <c r="N14" s="86"/>
    </row>
    <row r="15" spans="1:15" ht="16.5" x14ac:dyDescent="0.25">
      <c r="A15" s="2"/>
      <c r="B15" s="2"/>
      <c r="C15" s="2"/>
      <c r="D15" s="2"/>
      <c r="E15" s="2"/>
      <c r="F15" s="2"/>
      <c r="G15" s="399" t="s">
        <v>251</v>
      </c>
      <c r="H15" s="399"/>
      <c r="I15" s="98">
        <f>SUM(I10:I14)</f>
        <v>20655.088</v>
      </c>
      <c r="J15" s="22"/>
      <c r="M15" s="37"/>
    </row>
    <row r="16" spans="1:15" ht="16.5" x14ac:dyDescent="0.25">
      <c r="A16" s="2"/>
      <c r="B16" s="2"/>
      <c r="C16" s="2"/>
      <c r="D16" s="2"/>
      <c r="E16" s="2"/>
      <c r="F16" s="2"/>
      <c r="I16" s="223"/>
      <c r="J16" s="2"/>
      <c r="M16" s="93"/>
    </row>
    <row r="17" spans="1:15" ht="16.5" x14ac:dyDescent="0.25">
      <c r="A17" s="2"/>
      <c r="B17" s="2"/>
      <c r="C17" s="2"/>
      <c r="D17" s="2"/>
      <c r="E17" s="2"/>
      <c r="F17" s="2"/>
      <c r="G17" s="207"/>
      <c r="H17" s="207"/>
      <c r="I17" s="210"/>
      <c r="J17" s="2"/>
      <c r="M17" s="93"/>
    </row>
    <row r="18" spans="1:15" ht="16.5" x14ac:dyDescent="0.25">
      <c r="A18" s="153" t="s">
        <v>68</v>
      </c>
      <c r="B18" s="2"/>
      <c r="C18" s="2"/>
      <c r="D18" s="2"/>
      <c r="E18" s="2"/>
      <c r="F18" s="2"/>
      <c r="G18" s="2"/>
      <c r="H18" s="2"/>
      <c r="I18" s="31"/>
      <c r="J18" s="2"/>
      <c r="M18" s="93"/>
    </row>
    <row r="19" spans="1:15" ht="16.5" x14ac:dyDescent="0.25">
      <c r="A19" s="208" t="s">
        <v>137</v>
      </c>
      <c r="B19" s="401" t="s">
        <v>195</v>
      </c>
      <c r="C19" s="401"/>
      <c r="D19" s="401"/>
      <c r="E19" s="401"/>
      <c r="F19" s="401"/>
      <c r="G19" s="2"/>
      <c r="H19" s="2"/>
      <c r="I19" s="97">
        <f>'[12]Pension &amp; Benefits'!$N$31/1000</f>
        <v>8748.8145599001</v>
      </c>
      <c r="J19" s="24"/>
      <c r="K19" s="99"/>
      <c r="M19" s="37"/>
    </row>
    <row r="20" spans="1:15" ht="16.5" x14ac:dyDescent="0.25">
      <c r="A20" s="209"/>
      <c r="B20" s="401" t="s">
        <v>47</v>
      </c>
      <c r="C20" s="401"/>
      <c r="D20" s="401"/>
      <c r="E20" s="401"/>
      <c r="F20" s="401"/>
      <c r="G20" s="2"/>
      <c r="H20" s="2"/>
      <c r="I20" s="110">
        <f>'[12]Pension &amp; Benefits'!$N$33/1000</f>
        <v>8246.2214999000007</v>
      </c>
      <c r="J20" s="24"/>
      <c r="K20" s="99"/>
      <c r="M20" s="135"/>
    </row>
    <row r="21" spans="1:15" ht="16.5" x14ac:dyDescent="0.25">
      <c r="A21" s="2"/>
      <c r="B21" s="401" t="s">
        <v>256</v>
      </c>
      <c r="C21" s="401"/>
      <c r="D21" s="401"/>
      <c r="E21" s="401"/>
      <c r="F21" s="401"/>
      <c r="G21" s="2"/>
      <c r="H21" s="2"/>
      <c r="I21" s="110">
        <f>'[12]Pension &amp; Benefits'!$N$30/1000</f>
        <v>11043.566940000001</v>
      </c>
      <c r="J21" s="24"/>
      <c r="K21" s="99"/>
      <c r="L21" s="86"/>
      <c r="M21" s="135"/>
      <c r="N21" s="86"/>
    </row>
    <row r="22" spans="1:15" ht="16.5" x14ac:dyDescent="0.25">
      <c r="A22" s="2"/>
      <c r="B22" s="401" t="s">
        <v>257</v>
      </c>
      <c r="C22" s="401"/>
      <c r="D22" s="401"/>
      <c r="E22" s="401"/>
      <c r="F22" s="401"/>
      <c r="G22" s="2"/>
      <c r="H22" s="2"/>
      <c r="I22" s="110">
        <f>'[12]Pension &amp; Benefits'!$N$32/1000</f>
        <v>557.02824999999996</v>
      </c>
      <c r="J22" s="24"/>
      <c r="K22" s="99"/>
      <c r="L22" s="86"/>
      <c r="M22" s="135"/>
      <c r="N22" s="86"/>
    </row>
    <row r="23" spans="1:15" ht="16.5" x14ac:dyDescent="0.25">
      <c r="A23" s="2"/>
      <c r="B23" s="242" t="str">
        <f>B14</f>
        <v>Fringe Transfer</v>
      </c>
      <c r="C23" s="242"/>
      <c r="D23" s="242"/>
      <c r="E23" s="242"/>
      <c r="F23" s="242"/>
      <c r="G23" s="2"/>
      <c r="H23" s="2"/>
      <c r="I23" s="105">
        <f>'[12]Pension &amp; Benefits'!$N$34/1000</f>
        <v>-8886.3253235802185</v>
      </c>
      <c r="J23" s="24"/>
      <c r="K23" s="99"/>
      <c r="L23" s="86"/>
      <c r="M23" s="135"/>
      <c r="N23" s="86"/>
    </row>
    <row r="24" spans="1:15" ht="16.5" x14ac:dyDescent="0.25">
      <c r="A24" s="2"/>
      <c r="B24" s="2"/>
      <c r="C24" s="2"/>
      <c r="D24" s="2"/>
      <c r="E24" s="2"/>
      <c r="F24" s="2"/>
      <c r="G24" s="399" t="s">
        <v>173</v>
      </c>
      <c r="H24" s="399"/>
      <c r="I24" s="98">
        <f>SUM(I19:I23)</f>
        <v>19709.30592621988</v>
      </c>
      <c r="J24" s="24"/>
      <c r="M24" s="136"/>
    </row>
    <row r="25" spans="1:15" ht="16.5" x14ac:dyDescent="0.25">
      <c r="A25" s="2"/>
      <c r="B25" s="220"/>
      <c r="C25" s="2"/>
      <c r="D25" s="2"/>
      <c r="E25" s="2"/>
      <c r="F25" s="2"/>
      <c r="I25" s="45"/>
      <c r="J25" s="24"/>
      <c r="M25" s="136"/>
    </row>
    <row r="26" spans="1:15" ht="16.5" x14ac:dyDescent="0.25">
      <c r="A26" s="2"/>
      <c r="B26" s="2"/>
      <c r="C26" s="2"/>
      <c r="D26" s="2"/>
      <c r="E26" s="2"/>
      <c r="F26" s="2"/>
      <c r="G26" s="2"/>
      <c r="H26" s="2"/>
      <c r="I26" s="31"/>
      <c r="J26" s="24"/>
      <c r="M26" s="93"/>
    </row>
    <row r="27" spans="1:15" ht="16.5" x14ac:dyDescent="0.25">
      <c r="A27" s="121" t="s">
        <v>59</v>
      </c>
      <c r="B27" s="121"/>
      <c r="C27" s="121"/>
      <c r="D27" s="121"/>
      <c r="E27" s="121"/>
      <c r="F27" s="2"/>
      <c r="G27" s="2"/>
      <c r="H27" s="2"/>
      <c r="I27" s="66">
        <f>I15-I24</f>
        <v>945.78207378011939</v>
      </c>
      <c r="J27" s="24"/>
      <c r="L27" s="24"/>
      <c r="M27" s="136"/>
      <c r="N27" s="86"/>
    </row>
    <row r="28" spans="1:15" ht="16.5" x14ac:dyDescent="0.25">
      <c r="A28" s="31"/>
      <c r="B28" s="31"/>
      <c r="C28" s="31"/>
      <c r="D28" s="31"/>
      <c r="E28" s="31"/>
      <c r="F28" s="31"/>
      <c r="G28" s="31"/>
      <c r="H28" s="31"/>
      <c r="I28" s="2"/>
      <c r="J28" s="2"/>
      <c r="M28" s="63"/>
    </row>
    <row r="29" spans="1:15" ht="17.25" thickBot="1" x14ac:dyDescent="0.3">
      <c r="A29" s="282" t="s">
        <v>192</v>
      </c>
      <c r="B29" s="120"/>
      <c r="C29" s="120"/>
      <c r="D29" s="120"/>
      <c r="E29" s="120"/>
      <c r="F29" s="31"/>
      <c r="G29" s="31"/>
      <c r="H29" s="31"/>
      <c r="I29" s="286">
        <f>I27*0.2811</f>
        <v>265.85934093959156</v>
      </c>
      <c r="J29" s="24"/>
      <c r="L29" s="86"/>
      <c r="M29" s="45"/>
    </row>
    <row r="30" spans="1:15" ht="16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M30" s="63"/>
    </row>
    <row r="31" spans="1:15" ht="17.25" thickBot="1" x14ac:dyDescent="0.3">
      <c r="A31" s="395" t="s">
        <v>84</v>
      </c>
      <c r="B31" s="395"/>
      <c r="C31" s="395"/>
      <c r="D31" s="395"/>
      <c r="E31" s="395"/>
      <c r="F31" s="2"/>
      <c r="G31" s="2"/>
      <c r="H31" s="2"/>
      <c r="I31" s="73">
        <f>I29-I27</f>
        <v>-679.92273284052783</v>
      </c>
      <c r="J31" s="2"/>
      <c r="L31" s="68"/>
      <c r="M31" s="137"/>
      <c r="O31" s="99"/>
    </row>
    <row r="32" spans="1:15" ht="17.25" thickTop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M32" s="63"/>
    </row>
    <row r="33" spans="1:13" ht="16.5" x14ac:dyDescent="0.25">
      <c r="A33" s="9" t="s">
        <v>238</v>
      </c>
      <c r="B33" s="2"/>
      <c r="C33" s="2"/>
      <c r="D33" s="2"/>
      <c r="E33" s="2"/>
      <c r="F33" s="2"/>
      <c r="G33" s="2"/>
      <c r="H33" s="2"/>
      <c r="I33" s="2"/>
      <c r="J33" s="2"/>
      <c r="K33" s="2"/>
      <c r="M33" s="63"/>
    </row>
    <row r="34" spans="1:13" ht="16.5" x14ac:dyDescent="0.25">
      <c r="A34" s="333" t="s">
        <v>283</v>
      </c>
      <c r="B34" s="399" t="s">
        <v>286</v>
      </c>
      <c r="C34" s="399"/>
      <c r="D34" s="2" t="s">
        <v>276</v>
      </c>
      <c r="E34" s="63"/>
      <c r="F34" s="63"/>
      <c r="G34" s="63"/>
      <c r="H34" s="63"/>
      <c r="I34" s="139"/>
      <c r="J34" s="139"/>
      <c r="K34" s="139"/>
      <c r="L34" s="93"/>
      <c r="M34" s="93"/>
    </row>
    <row r="35" spans="1:13" ht="16.5" x14ac:dyDescent="0.25">
      <c r="A35" s="2"/>
      <c r="B35" s="2"/>
      <c r="C35" s="2"/>
      <c r="D35" s="2"/>
      <c r="E35" s="67"/>
      <c r="F35" s="63"/>
      <c r="G35" s="63"/>
      <c r="H35" s="63"/>
      <c r="I35" s="67"/>
      <c r="J35" s="67"/>
      <c r="K35" s="67"/>
      <c r="L35" s="93"/>
      <c r="M35" s="93"/>
    </row>
    <row r="36" spans="1:13" ht="16.5" x14ac:dyDescent="0.25">
      <c r="A36" s="2"/>
      <c r="B36" s="2"/>
      <c r="C36" s="2"/>
      <c r="D36" s="2"/>
      <c r="E36" s="63"/>
      <c r="F36" s="63"/>
      <c r="G36" s="63"/>
      <c r="H36" s="63"/>
      <c r="I36" s="140"/>
      <c r="J36" s="63"/>
      <c r="K36" s="140"/>
      <c r="L36" s="93"/>
      <c r="M36" s="93"/>
    </row>
    <row r="37" spans="1:13" ht="16.5" x14ac:dyDescent="0.25">
      <c r="A37" s="2"/>
      <c r="B37" s="2"/>
      <c r="C37" s="2"/>
      <c r="D37" s="2"/>
      <c r="E37" s="63"/>
      <c r="F37" s="63"/>
      <c r="G37" s="63"/>
      <c r="H37" s="63"/>
      <c r="I37" s="135"/>
      <c r="J37" s="135"/>
      <c r="K37" s="135"/>
      <c r="L37" s="93"/>
      <c r="M37" s="93"/>
    </row>
    <row r="38" spans="1:13" x14ac:dyDescent="0.2">
      <c r="E38" s="93"/>
      <c r="F38" s="93"/>
      <c r="G38" s="93"/>
      <c r="H38" s="93"/>
      <c r="I38" s="93"/>
      <c r="J38" s="93"/>
      <c r="K38" s="93"/>
      <c r="L38" s="93"/>
      <c r="M38" s="93"/>
    </row>
    <row r="39" spans="1:13" ht="16.5" x14ac:dyDescent="0.25">
      <c r="E39" s="93"/>
      <c r="F39" s="93"/>
      <c r="G39" s="93"/>
      <c r="H39" s="93"/>
      <c r="I39" s="67"/>
      <c r="J39" s="67"/>
      <c r="K39" s="67"/>
      <c r="L39" s="93"/>
      <c r="M39" s="93"/>
    </row>
  </sheetData>
  <mergeCells count="16">
    <mergeCell ref="B34:C34"/>
    <mergeCell ref="A7:I7"/>
    <mergeCell ref="A6:I6"/>
    <mergeCell ref="A5:I5"/>
    <mergeCell ref="A3:I3"/>
    <mergeCell ref="B22:F22"/>
    <mergeCell ref="B21:F21"/>
    <mergeCell ref="B19:F19"/>
    <mergeCell ref="B11:F11"/>
    <mergeCell ref="B10:F10"/>
    <mergeCell ref="G15:H15"/>
    <mergeCell ref="G24:H24"/>
    <mergeCell ref="A31:E31"/>
    <mergeCell ref="B13:F13"/>
    <mergeCell ref="B12:F12"/>
    <mergeCell ref="B20:F20"/>
  </mergeCells>
  <phoneticPr fontId="2" type="noConversion"/>
  <pageMargins left="0.5" right="0.25" top="1.25" bottom="0.25" header="0.5" footer="0.5"/>
  <pageSetup scale="97" orientation="portrait" r:id="rId1"/>
  <headerFooter alignWithMargins="0">
    <oddHeader xml:space="preserve">&amp;R&amp;"Arial,Bold"&amp;14EXHIBIT P-3
SCHEDULE JMC-17
UPDATE-1  </oddHeader>
    <oddFooter xml:space="preserve">&amp;C&amp;K000000
</oddFooter>
  </headerFooter>
  <ignoredErrors>
    <ignoredError sqref="A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92D050"/>
    <pageSetUpPr fitToPage="1"/>
  </sheetPr>
  <dimension ref="A3:L24"/>
  <sheetViews>
    <sheetView zoomScaleNormal="100" workbookViewId="0">
      <selection activeCell="E22" sqref="E22"/>
    </sheetView>
  </sheetViews>
  <sheetFormatPr defaultRowHeight="12.75" x14ac:dyDescent="0.2"/>
  <cols>
    <col min="1" max="1" width="6.85546875" customWidth="1"/>
    <col min="2" max="2" width="14.5703125" customWidth="1"/>
    <col min="3" max="3" width="14.140625" bestFit="1" customWidth="1"/>
    <col min="4" max="4" width="16.42578125" customWidth="1"/>
    <col min="5" max="5" width="16.7109375" customWidth="1"/>
    <col min="6" max="7" width="18.28515625" bestFit="1" customWidth="1"/>
    <col min="8" max="8" width="4.5703125" customWidth="1"/>
    <col min="9" max="9" width="15" bestFit="1" customWidth="1"/>
    <col min="11" max="11" width="10.28515625" bestFit="1" customWidth="1"/>
  </cols>
  <sheetData>
    <row r="3" spans="1:12" ht="16.5" x14ac:dyDescent="0.25">
      <c r="A3" s="397" t="s">
        <v>109</v>
      </c>
      <c r="B3" s="397"/>
      <c r="C3" s="397"/>
      <c r="D3" s="397"/>
      <c r="E3" s="397"/>
      <c r="F3" s="397"/>
      <c r="G3" s="397"/>
      <c r="H3" s="397"/>
      <c r="I3" s="397"/>
      <c r="J3" s="49"/>
    </row>
    <row r="4" spans="1:12" ht="16.5" x14ac:dyDescent="0.25">
      <c r="A4" s="27"/>
      <c r="B4" s="27"/>
      <c r="C4" s="27"/>
      <c r="D4" s="27"/>
      <c r="E4" s="27"/>
      <c r="F4" s="27"/>
      <c r="G4" s="27"/>
      <c r="H4" s="41"/>
      <c r="I4" s="27"/>
    </row>
    <row r="5" spans="1:12" ht="16.5" x14ac:dyDescent="0.25">
      <c r="A5" s="396" t="s">
        <v>58</v>
      </c>
      <c r="B5" s="396"/>
      <c r="C5" s="396"/>
      <c r="D5" s="396"/>
      <c r="E5" s="396"/>
      <c r="F5" s="396"/>
      <c r="G5" s="396"/>
      <c r="H5" s="396"/>
      <c r="I5" s="396"/>
      <c r="J5" s="54"/>
    </row>
    <row r="6" spans="1:12" ht="16.5" x14ac:dyDescent="0.25">
      <c r="A6" s="397" t="s">
        <v>98</v>
      </c>
      <c r="B6" s="397"/>
      <c r="C6" s="397"/>
      <c r="D6" s="397"/>
      <c r="E6" s="397"/>
      <c r="F6" s="397"/>
      <c r="G6" s="397"/>
      <c r="H6" s="397"/>
      <c r="I6" s="397"/>
      <c r="J6" s="49"/>
    </row>
    <row r="7" spans="1:12" ht="16.5" x14ac:dyDescent="0.25">
      <c r="A7" s="398" t="s">
        <v>50</v>
      </c>
      <c r="B7" s="398"/>
      <c r="C7" s="398"/>
      <c r="D7" s="398"/>
      <c r="E7" s="398"/>
      <c r="F7" s="398"/>
      <c r="G7" s="398"/>
      <c r="H7" s="398"/>
      <c r="I7" s="398"/>
      <c r="J7" s="50"/>
    </row>
    <row r="9" spans="1:12" ht="16.5" x14ac:dyDescent="0.25">
      <c r="A9" s="127"/>
      <c r="B9" s="2"/>
      <c r="C9" s="2"/>
      <c r="D9" s="2"/>
      <c r="E9" s="2"/>
      <c r="F9" s="2"/>
      <c r="G9" s="2"/>
      <c r="H9" s="2"/>
      <c r="I9" s="2"/>
    </row>
    <row r="10" spans="1:12" ht="17.25" thickBot="1" x14ac:dyDescent="0.3">
      <c r="A10" s="2"/>
      <c r="B10" s="2"/>
      <c r="C10" s="2"/>
      <c r="D10" s="2"/>
      <c r="E10" s="2"/>
      <c r="F10" s="72" t="s">
        <v>65</v>
      </c>
      <c r="G10" s="72" t="s">
        <v>99</v>
      </c>
      <c r="H10" s="28"/>
      <c r="I10" s="72" t="s">
        <v>40</v>
      </c>
    </row>
    <row r="11" spans="1:12" ht="16.5" x14ac:dyDescent="0.25">
      <c r="A11" s="410" t="s">
        <v>252</v>
      </c>
      <c r="B11" s="410"/>
      <c r="C11" s="410"/>
      <c r="D11" s="410"/>
      <c r="E11" s="31"/>
      <c r="F11" s="61">
        <f>[13]intrastate!$B$12/1000</f>
        <v>700890.17799999996</v>
      </c>
      <c r="G11" s="61">
        <f>F11</f>
        <v>700890.17799999996</v>
      </c>
      <c r="H11" s="2"/>
      <c r="I11" s="59"/>
    </row>
    <row r="12" spans="1:12" ht="16.5" x14ac:dyDescent="0.25">
      <c r="A12" s="401" t="s">
        <v>281</v>
      </c>
      <c r="B12" s="401"/>
      <c r="C12" s="401"/>
      <c r="D12" s="401"/>
      <c r="E12" s="2"/>
      <c r="F12" s="230">
        <v>2.15354244314E-3</v>
      </c>
      <c r="G12" s="381">
        <v>5.3475905192400003E-4</v>
      </c>
      <c r="H12" s="2"/>
      <c r="I12" s="2"/>
      <c r="K12" s="145"/>
    </row>
    <row r="13" spans="1:12" ht="16.5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12" ht="16.5" x14ac:dyDescent="0.25">
      <c r="A14" s="401" t="s">
        <v>62</v>
      </c>
      <c r="B14" s="401"/>
      <c r="C14" s="401"/>
      <c r="D14" s="401"/>
      <c r="E14" s="2"/>
      <c r="F14" s="22">
        <f>F11*F12</f>
        <v>1509.3967463029494</v>
      </c>
      <c r="G14" s="22">
        <f>G11*G12</f>
        <v>374.80736709012359</v>
      </c>
      <c r="H14" s="2"/>
      <c r="I14" s="66">
        <f>SUM(F14:G14)</f>
        <v>1884.2041133930729</v>
      </c>
      <c r="K14" s="146"/>
    </row>
    <row r="15" spans="1:12" ht="16.5" x14ac:dyDescent="0.25">
      <c r="A15" s="401" t="s">
        <v>63</v>
      </c>
      <c r="B15" s="401"/>
      <c r="C15" s="401"/>
      <c r="D15" s="401"/>
      <c r="E15" s="2"/>
      <c r="F15" s="66"/>
      <c r="G15" s="66"/>
      <c r="H15" s="2"/>
      <c r="I15" s="66"/>
    </row>
    <row r="16" spans="1:12" ht="16.5" x14ac:dyDescent="0.25">
      <c r="A16" s="418" t="s">
        <v>64</v>
      </c>
      <c r="B16" s="418"/>
      <c r="C16" s="418"/>
      <c r="D16" s="2"/>
      <c r="E16" s="2"/>
      <c r="F16" s="46">
        <v>1027.0154600000001</v>
      </c>
      <c r="G16" s="46">
        <v>282.14136000000002</v>
      </c>
      <c r="H16" s="24"/>
      <c r="I16" s="251">
        <f>SUM(F16:G16)</f>
        <v>1309.1568200000002</v>
      </c>
      <c r="K16" s="218"/>
      <c r="L16" s="218"/>
    </row>
    <row r="17" spans="1:9" ht="16.5" x14ac:dyDescent="0.25">
      <c r="A17" s="2"/>
      <c r="B17" s="2"/>
      <c r="C17" s="2"/>
      <c r="D17" s="2"/>
      <c r="E17" s="2"/>
      <c r="F17" s="22"/>
      <c r="G17" s="39"/>
      <c r="H17" s="2"/>
      <c r="I17" s="66"/>
    </row>
    <row r="18" spans="1:9" ht="16.5" x14ac:dyDescent="0.25">
      <c r="A18" s="401" t="s">
        <v>45</v>
      </c>
      <c r="B18" s="401"/>
      <c r="C18" s="401"/>
      <c r="D18" s="401"/>
      <c r="E18" s="2"/>
      <c r="F18" s="66">
        <f>F14-F16</f>
        <v>482.38128630294932</v>
      </c>
      <c r="G18" s="66">
        <f>G14-G16</f>
        <v>92.666007090123571</v>
      </c>
      <c r="H18" s="2"/>
      <c r="I18" s="66">
        <f>SUM(F18:G18)</f>
        <v>575.04729339307289</v>
      </c>
    </row>
    <row r="19" spans="1:9" ht="16.5" x14ac:dyDescent="0.25">
      <c r="A19" s="410" t="s">
        <v>192</v>
      </c>
      <c r="B19" s="410"/>
      <c r="C19" s="410"/>
      <c r="D19" s="410"/>
      <c r="E19" s="31"/>
      <c r="F19" s="46">
        <f>F18*0.2811</f>
        <v>135.59737957975906</v>
      </c>
      <c r="G19" s="46">
        <f>G18*0.2811</f>
        <v>26.048414593033737</v>
      </c>
      <c r="H19" s="44"/>
      <c r="I19" s="46">
        <f>SUM(F19:G19)</f>
        <v>161.64579417279279</v>
      </c>
    </row>
    <row r="20" spans="1:9" ht="16.5" x14ac:dyDescent="0.25">
      <c r="A20" s="2"/>
      <c r="B20" s="2"/>
      <c r="C20" s="2"/>
      <c r="D20" s="2"/>
      <c r="E20" s="2"/>
      <c r="F20" s="66"/>
      <c r="G20" s="66"/>
      <c r="H20" s="2"/>
      <c r="I20" s="66"/>
    </row>
    <row r="21" spans="1:9" ht="17.25" thickBot="1" x14ac:dyDescent="0.3">
      <c r="A21" s="395" t="s">
        <v>84</v>
      </c>
      <c r="B21" s="395"/>
      <c r="C21" s="395"/>
      <c r="D21" s="395"/>
      <c r="E21" s="395"/>
      <c r="F21" s="79">
        <f>F19-F18</f>
        <v>-346.78390672319028</v>
      </c>
      <c r="G21" s="79">
        <f>G19-G18</f>
        <v>-66.617592497089831</v>
      </c>
      <c r="H21" s="2"/>
      <c r="I21" s="79">
        <f>SUM(F21:G21)</f>
        <v>-413.40149922028013</v>
      </c>
    </row>
    <row r="22" spans="1:9" ht="13.5" thickTop="1" x14ac:dyDescent="0.2"/>
    <row r="23" spans="1:9" ht="16.5" x14ac:dyDescent="0.25">
      <c r="A23" s="9" t="s">
        <v>238</v>
      </c>
    </row>
    <row r="24" spans="1:9" ht="16.5" x14ac:dyDescent="0.25">
      <c r="B24" s="333" t="s">
        <v>283</v>
      </c>
      <c r="C24" s="399" t="s">
        <v>287</v>
      </c>
      <c r="D24" s="399"/>
      <c r="E24" s="2" t="s">
        <v>277</v>
      </c>
    </row>
  </sheetData>
  <mergeCells count="13">
    <mergeCell ref="C24:D24"/>
    <mergeCell ref="A21:E21"/>
    <mergeCell ref="A3:I3"/>
    <mergeCell ref="A5:I5"/>
    <mergeCell ref="A6:I6"/>
    <mergeCell ref="A7:I7"/>
    <mergeCell ref="A19:D19"/>
    <mergeCell ref="A18:D18"/>
    <mergeCell ref="A15:D15"/>
    <mergeCell ref="A14:D14"/>
    <mergeCell ref="A12:D12"/>
    <mergeCell ref="A11:D11"/>
    <mergeCell ref="A16:C16"/>
  </mergeCells>
  <phoneticPr fontId="2" type="noConversion"/>
  <pageMargins left="1" right="0.25" top="1.25" bottom="0.25" header="0.5" footer="0.5"/>
  <pageSetup scale="70" orientation="portrait" r:id="rId1"/>
  <headerFooter alignWithMargins="0">
    <oddHeader xml:space="preserve">&amp;R&amp;"Arial,Bold"&amp;14EXHIBIT P-3
SCHEDULE JMC-18
UPDATE-1  </oddHeader>
    <oddFooter xml:space="preserve">&amp;C&amp;K000000
</oddFooter>
  </headerFooter>
  <ignoredErrors>
    <ignoredError sqref="A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tabColor rgb="FF92D050"/>
    <pageSetUpPr fitToPage="1"/>
  </sheetPr>
  <dimension ref="A3:M19"/>
  <sheetViews>
    <sheetView zoomScaleNormal="100" workbookViewId="0">
      <selection activeCell="E22" sqref="E22"/>
    </sheetView>
  </sheetViews>
  <sheetFormatPr defaultRowHeight="12.75" x14ac:dyDescent="0.2"/>
  <cols>
    <col min="1" max="1" width="7.42578125" customWidth="1"/>
    <col min="3" max="3" width="14.140625" bestFit="1" customWidth="1"/>
    <col min="4" max="4" width="11.140625" customWidth="1"/>
    <col min="6" max="6" width="11.28515625" customWidth="1"/>
    <col min="7" max="7" width="5.5703125" customWidth="1"/>
    <col min="9" max="9" width="21.7109375" style="40" bestFit="1" customWidth="1"/>
    <col min="11" max="11" width="17" bestFit="1" customWidth="1"/>
    <col min="13" max="13" width="17" bestFit="1" customWidth="1"/>
  </cols>
  <sheetData>
    <row r="3" spans="1:13" ht="16.5" x14ac:dyDescent="0.25">
      <c r="A3" s="403" t="s">
        <v>109</v>
      </c>
      <c r="B3" s="397"/>
      <c r="C3" s="397"/>
      <c r="D3" s="397"/>
      <c r="E3" s="397"/>
      <c r="F3" s="397"/>
      <c r="G3" s="397"/>
      <c r="H3" s="397"/>
      <c r="I3" s="397"/>
      <c r="J3" s="49"/>
      <c r="K3" s="49"/>
      <c r="L3" s="49"/>
      <c r="M3" s="49"/>
    </row>
    <row r="4" spans="1:13" ht="16.5" x14ac:dyDescent="0.25">
      <c r="A4" s="27"/>
      <c r="B4" s="27"/>
      <c r="C4" s="27"/>
      <c r="D4" s="27"/>
      <c r="E4" s="27"/>
      <c r="F4" s="27"/>
      <c r="G4" s="27"/>
      <c r="H4" s="27"/>
      <c r="I4" s="41"/>
      <c r="J4" s="27"/>
    </row>
    <row r="5" spans="1:13" ht="16.5" x14ac:dyDescent="0.25">
      <c r="A5" s="396" t="s">
        <v>60</v>
      </c>
      <c r="B5" s="396"/>
      <c r="C5" s="396"/>
      <c r="D5" s="396"/>
      <c r="E5" s="396"/>
      <c r="F5" s="396"/>
      <c r="G5" s="396"/>
      <c r="H5" s="396"/>
      <c r="I5" s="396"/>
      <c r="J5" s="54"/>
      <c r="K5" s="54"/>
      <c r="L5" s="54"/>
      <c r="M5" s="54"/>
    </row>
    <row r="6" spans="1:13" ht="16.5" x14ac:dyDescent="0.25">
      <c r="A6" s="397" t="s">
        <v>163</v>
      </c>
      <c r="B6" s="397"/>
      <c r="C6" s="397"/>
      <c r="D6" s="397"/>
      <c r="E6" s="397"/>
      <c r="F6" s="397"/>
      <c r="G6" s="397"/>
      <c r="H6" s="397"/>
      <c r="I6" s="397"/>
      <c r="J6" s="49"/>
      <c r="K6" s="49"/>
      <c r="L6" s="49"/>
      <c r="M6" s="49"/>
    </row>
    <row r="7" spans="1:13" ht="16.5" x14ac:dyDescent="0.25">
      <c r="A7" s="398" t="s">
        <v>50</v>
      </c>
      <c r="B7" s="398"/>
      <c r="C7" s="398"/>
      <c r="D7" s="398"/>
      <c r="E7" s="398"/>
      <c r="F7" s="398"/>
      <c r="G7" s="398"/>
      <c r="H7" s="398"/>
      <c r="I7" s="398"/>
      <c r="J7" s="50"/>
      <c r="K7" s="50"/>
      <c r="L7" s="50"/>
      <c r="M7" s="50"/>
    </row>
    <row r="8" spans="1:13" ht="16.5" x14ac:dyDescent="0.25">
      <c r="A8" s="144"/>
      <c r="B8" s="144"/>
      <c r="C8" s="144"/>
      <c r="D8" s="144"/>
      <c r="E8" s="144"/>
      <c r="F8" s="144"/>
      <c r="G8" s="144"/>
      <c r="H8" s="144"/>
      <c r="I8" s="144"/>
      <c r="J8" s="50"/>
      <c r="K8" s="50"/>
      <c r="L8" s="50"/>
      <c r="M8" s="50"/>
    </row>
    <row r="9" spans="1:13" ht="16.5" x14ac:dyDescent="0.25">
      <c r="I9" s="52" t="s">
        <v>77</v>
      </c>
      <c r="M9" s="93"/>
    </row>
    <row r="10" spans="1:13" ht="16.5" x14ac:dyDescent="0.25">
      <c r="I10" s="166" t="s">
        <v>249</v>
      </c>
      <c r="J10" s="12"/>
      <c r="L10" s="12"/>
      <c r="M10" s="127"/>
    </row>
    <row r="11" spans="1:13" ht="16.5" x14ac:dyDescent="0.25">
      <c r="A11" s="2"/>
      <c r="B11" s="2"/>
      <c r="C11" s="2"/>
      <c r="D11" s="2"/>
      <c r="E11" s="2"/>
      <c r="F11" s="2"/>
      <c r="G11" s="2"/>
      <c r="H11" s="2"/>
      <c r="I11" s="39"/>
      <c r="M11" s="77"/>
    </row>
    <row r="12" spans="1:13" ht="16.5" x14ac:dyDescent="0.25">
      <c r="A12" s="410" t="s">
        <v>143</v>
      </c>
      <c r="B12" s="412"/>
      <c r="C12" s="412"/>
      <c r="D12" s="412"/>
      <c r="E12" s="412"/>
      <c r="F12" s="412"/>
      <c r="G12" s="412"/>
      <c r="H12" s="2"/>
      <c r="I12" s="61">
        <f>'[14]BGSS INCENTIVES'!$N$8/1000</f>
        <v>12373.793988357891</v>
      </c>
      <c r="J12" s="61"/>
      <c r="K12" s="259"/>
      <c r="M12" s="37"/>
    </row>
    <row r="13" spans="1:13" ht="16.5" x14ac:dyDescent="0.25">
      <c r="A13" s="31"/>
      <c r="B13" s="31"/>
      <c r="C13" s="31"/>
      <c r="D13" s="31"/>
      <c r="E13" s="31"/>
      <c r="F13" s="31"/>
      <c r="G13" s="31"/>
      <c r="H13" s="2"/>
      <c r="I13" s="69"/>
      <c r="J13" s="15"/>
      <c r="M13" s="77"/>
    </row>
    <row r="14" spans="1:13" ht="16.5" x14ac:dyDescent="0.25">
      <c r="A14" s="410" t="s">
        <v>192</v>
      </c>
      <c r="B14" s="412"/>
      <c r="C14" s="412"/>
      <c r="D14" s="412"/>
      <c r="E14" s="412"/>
      <c r="F14" s="412"/>
      <c r="G14" s="412"/>
      <c r="H14" s="31"/>
      <c r="I14" s="46">
        <f>I12*0.2811</f>
        <v>3478.2734901274034</v>
      </c>
      <c r="J14" s="88"/>
      <c r="L14" s="88"/>
      <c r="M14" s="45"/>
    </row>
    <row r="15" spans="1:13" ht="16.5" x14ac:dyDescent="0.25">
      <c r="A15" s="2"/>
      <c r="B15" s="2"/>
      <c r="C15" s="2"/>
      <c r="D15" s="2"/>
      <c r="E15" s="2"/>
      <c r="F15" s="2"/>
      <c r="G15" s="2"/>
      <c r="H15" s="2"/>
      <c r="I15" s="22"/>
      <c r="M15" s="37"/>
    </row>
    <row r="16" spans="1:13" ht="17.25" thickBot="1" x14ac:dyDescent="0.3">
      <c r="A16" s="395" t="s">
        <v>84</v>
      </c>
      <c r="B16" s="395"/>
      <c r="C16" s="395"/>
      <c r="D16" s="395"/>
      <c r="E16" s="395"/>
      <c r="F16" s="395"/>
      <c r="G16" s="395"/>
      <c r="H16" s="2"/>
      <c r="I16" s="62">
        <f>I14-I12</f>
        <v>-8895.5204982304876</v>
      </c>
      <c r="M16" s="37"/>
    </row>
    <row r="17" spans="1:13" ht="17.25" thickTop="1" x14ac:dyDescent="0.25">
      <c r="A17" s="2"/>
      <c r="B17" s="2"/>
      <c r="C17" s="2"/>
      <c r="D17" s="2"/>
      <c r="E17" s="2"/>
      <c r="F17" s="2"/>
      <c r="G17" s="2"/>
      <c r="H17" s="2"/>
      <c r="I17" s="39"/>
      <c r="M17" s="93"/>
    </row>
    <row r="18" spans="1:13" ht="16.5" x14ac:dyDescent="0.25">
      <c r="A18" s="9" t="s">
        <v>238</v>
      </c>
      <c r="B18" s="2"/>
      <c r="C18" s="2"/>
      <c r="D18" s="2"/>
      <c r="E18" s="2"/>
      <c r="F18" s="2"/>
      <c r="G18" s="2"/>
      <c r="H18" s="2"/>
      <c r="I18" s="39"/>
      <c r="M18" s="93"/>
    </row>
    <row r="19" spans="1:13" ht="16.5" x14ac:dyDescent="0.25">
      <c r="B19" s="333" t="s">
        <v>283</v>
      </c>
      <c r="C19" s="399" t="s">
        <v>288</v>
      </c>
      <c r="D19" s="399"/>
      <c r="E19" s="2" t="s">
        <v>278</v>
      </c>
    </row>
  </sheetData>
  <mergeCells count="8">
    <mergeCell ref="A3:I3"/>
    <mergeCell ref="A12:G12"/>
    <mergeCell ref="A14:G14"/>
    <mergeCell ref="C19:D19"/>
    <mergeCell ref="A16:G16"/>
    <mergeCell ref="A7:I7"/>
    <mergeCell ref="A6:I6"/>
    <mergeCell ref="A5:I5"/>
  </mergeCells>
  <phoneticPr fontId="2" type="noConversion"/>
  <pageMargins left="1" right="0.25" top="1.25" bottom="0.25" header="0.5" footer="0.5"/>
  <pageSetup scale="87" orientation="portrait" r:id="rId1"/>
  <headerFooter alignWithMargins="0">
    <oddHeader xml:space="preserve">&amp;R&amp;"Arial,Bold"&amp;14EXHIBIT P-3
SCHEDULE JMC-19
UPDATE-1  </oddHeader>
    <oddFooter xml:space="preserve">&amp;C&amp;K000000
</oddFooter>
  </headerFooter>
  <ignoredErrors>
    <ignoredError sqref="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00B0F0"/>
    <pageSetUpPr fitToPage="1"/>
  </sheetPr>
  <dimension ref="A3:G39"/>
  <sheetViews>
    <sheetView topLeftCell="A7" zoomScaleNormal="100" workbookViewId="0">
      <selection activeCell="E22" sqref="E22"/>
    </sheetView>
  </sheetViews>
  <sheetFormatPr defaultRowHeight="16.5" x14ac:dyDescent="0.25"/>
  <cols>
    <col min="1" max="4" width="12.7109375" style="2" customWidth="1"/>
    <col min="5" max="5" width="22.7109375" style="2" customWidth="1"/>
    <col min="6" max="6" width="7" style="2" customWidth="1"/>
    <col min="7" max="16384" width="9.140625" style="2"/>
  </cols>
  <sheetData>
    <row r="3" spans="1:7" x14ac:dyDescent="0.25">
      <c r="A3" s="397" t="s">
        <v>109</v>
      </c>
      <c r="B3" s="397"/>
      <c r="C3" s="397"/>
      <c r="D3" s="397"/>
      <c r="E3" s="397"/>
      <c r="F3" s="226"/>
    </row>
    <row r="5" spans="1:7" x14ac:dyDescent="0.25">
      <c r="A5" s="397" t="s">
        <v>110</v>
      </c>
      <c r="B5" s="397"/>
      <c r="C5" s="397"/>
      <c r="D5" s="397"/>
      <c r="E5" s="397"/>
      <c r="F5" s="226"/>
    </row>
    <row r="6" spans="1:7" x14ac:dyDescent="0.25">
      <c r="A6" s="398" t="s">
        <v>50</v>
      </c>
      <c r="B6" s="398"/>
      <c r="C6" s="398"/>
      <c r="D6" s="398"/>
      <c r="E6" s="398"/>
      <c r="F6" s="50"/>
    </row>
    <row r="8" spans="1:7" x14ac:dyDescent="0.25">
      <c r="E8" s="23" t="s">
        <v>76</v>
      </c>
      <c r="F8" s="163"/>
    </row>
    <row r="9" spans="1:7" x14ac:dyDescent="0.25">
      <c r="E9" s="166" t="s">
        <v>249</v>
      </c>
      <c r="F9" s="53"/>
    </row>
    <row r="11" spans="1:7" ht="16.5" customHeight="1" x14ac:dyDescent="0.25">
      <c r="A11" s="401" t="s">
        <v>4</v>
      </c>
      <c r="B11" s="401"/>
      <c r="C11" s="401"/>
      <c r="D11" s="401"/>
      <c r="E11" s="61">
        <f>'JMC - 5 (Plant in Service)'!F27</f>
        <v>3290026.6212730003</v>
      </c>
      <c r="F11" s="269"/>
    </row>
    <row r="12" spans="1:7" x14ac:dyDescent="0.25">
      <c r="A12" s="401" t="s">
        <v>5</v>
      </c>
      <c r="B12" s="401"/>
      <c r="C12" s="401"/>
      <c r="D12" s="401"/>
      <c r="E12" s="45">
        <f>'JMC - 7 (Depreciation Reserve)'!F35</f>
        <v>-571177.18020834681</v>
      </c>
      <c r="F12" s="269"/>
    </row>
    <row r="13" spans="1:7" x14ac:dyDescent="0.25">
      <c r="A13" s="401" t="s">
        <v>6</v>
      </c>
      <c r="B13" s="401"/>
      <c r="C13" s="401"/>
      <c r="D13" s="401"/>
      <c r="E13" s="46">
        <f>'JMC - 8 (Customer Advances)'!F14</f>
        <v>-2560.523248461539</v>
      </c>
      <c r="F13" s="269"/>
      <c r="G13" s="354"/>
    </row>
    <row r="14" spans="1:7" x14ac:dyDescent="0.25">
      <c r="A14" s="399" t="s">
        <v>172</v>
      </c>
      <c r="B14" s="400"/>
      <c r="C14" s="400"/>
      <c r="D14" s="400"/>
      <c r="E14" s="232">
        <f>SUM(E11:E13)</f>
        <v>2716288.9178161919</v>
      </c>
      <c r="F14" s="98"/>
    </row>
    <row r="15" spans="1:7" x14ac:dyDescent="0.25">
      <c r="E15" s="101"/>
      <c r="F15" s="101"/>
    </row>
    <row r="16" spans="1:7" x14ac:dyDescent="0.25">
      <c r="A16" s="402" t="s">
        <v>128</v>
      </c>
      <c r="B16" s="402"/>
      <c r="C16" s="402"/>
      <c r="D16" s="402"/>
      <c r="E16" s="390">
        <f>'JMC - 9 (Inventory-Mat.&amp;Sup.)'!F12</f>
        <v>80828.557943143052</v>
      </c>
      <c r="F16" s="271"/>
      <c r="G16" s="354"/>
    </row>
    <row r="17" spans="1:7" x14ac:dyDescent="0.25">
      <c r="E17" s="101"/>
      <c r="F17" s="101"/>
    </row>
    <row r="18" spans="1:7" x14ac:dyDescent="0.25">
      <c r="A18" s="2" t="s">
        <v>7</v>
      </c>
      <c r="E18" s="101"/>
      <c r="F18" s="101"/>
    </row>
    <row r="19" spans="1:7" x14ac:dyDescent="0.25">
      <c r="B19" s="83" t="s">
        <v>126</v>
      </c>
      <c r="C19" s="156"/>
      <c r="D19" s="156"/>
      <c r="E19" s="98">
        <f>[1]Summary!$G$19</f>
        <v>136573.21979870083</v>
      </c>
      <c r="F19" s="269"/>
    </row>
    <row r="20" spans="1:7" x14ac:dyDescent="0.25">
      <c r="B20" s="83" t="s">
        <v>125</v>
      </c>
      <c r="C20" s="156"/>
      <c r="D20" s="156"/>
      <c r="E20" s="44">
        <f>'JMC - 9 (Inventory-Mat.&amp;Sup.)'!F14</f>
        <v>15993.688411538462</v>
      </c>
      <c r="F20" s="269"/>
      <c r="G20" s="354"/>
    </row>
    <row r="21" spans="1:7" x14ac:dyDescent="0.25">
      <c r="B21" s="83" t="s">
        <v>127</v>
      </c>
      <c r="C21" s="156"/>
      <c r="D21" s="156"/>
      <c r="E21" s="46">
        <f>'JMC - 10 (Prepayments)'!G21</f>
        <v>13635.651340965051</v>
      </c>
      <c r="F21" s="269"/>
      <c r="G21" s="354"/>
    </row>
    <row r="22" spans="1:7" x14ac:dyDescent="0.25">
      <c r="A22" s="400" t="s">
        <v>8</v>
      </c>
      <c r="B22" s="400"/>
      <c r="C22" s="400"/>
      <c r="D22" s="400"/>
      <c r="E22" s="232">
        <f>SUM(E19:E21)</f>
        <v>166202.55955120432</v>
      </c>
      <c r="F22" s="98"/>
    </row>
    <row r="23" spans="1:7" x14ac:dyDescent="0.25">
      <c r="E23" s="101"/>
      <c r="F23" s="101"/>
    </row>
    <row r="24" spans="1:7" x14ac:dyDescent="0.25">
      <c r="A24" s="401" t="s">
        <v>9</v>
      </c>
      <c r="B24" s="401"/>
      <c r="C24" s="401"/>
      <c r="D24" s="401"/>
      <c r="E24" s="45">
        <f>'JMC - 11 (DFIT)'!F30</f>
        <v>-284660.22445407283</v>
      </c>
      <c r="F24" s="269"/>
      <c r="G24" s="354"/>
    </row>
    <row r="25" spans="1:7" x14ac:dyDescent="0.25">
      <c r="A25" s="283" t="s">
        <v>193</v>
      </c>
      <c r="B25" s="283"/>
      <c r="C25" s="283"/>
      <c r="D25" s="283"/>
      <c r="E25" s="45">
        <f>'[2]Excess DFIT'!$O$44</f>
        <v>-137053.18191662358</v>
      </c>
      <c r="F25" s="284"/>
      <c r="G25" s="354"/>
    </row>
    <row r="26" spans="1:7" x14ac:dyDescent="0.25">
      <c r="A26" s="254" t="s">
        <v>184</v>
      </c>
      <c r="B26" s="254"/>
      <c r="C26" s="254"/>
      <c r="D26" s="254"/>
      <c r="E26" s="46">
        <f>-'[3]BPU - CONFIDENTIAL'!$K$44/1000</f>
        <v>-1405.2961280071336</v>
      </c>
      <c r="F26" s="269"/>
    </row>
    <row r="27" spans="1:7" x14ac:dyDescent="0.25">
      <c r="A27" s="254"/>
      <c r="B27" s="254"/>
      <c r="C27" s="254"/>
      <c r="D27" s="254"/>
      <c r="E27" s="45"/>
      <c r="F27" s="45"/>
    </row>
    <row r="28" spans="1:7" ht="17.25" thickBot="1" x14ac:dyDescent="0.3">
      <c r="A28" s="395" t="s">
        <v>111</v>
      </c>
      <c r="B28" s="395"/>
      <c r="C28" s="395"/>
      <c r="D28" s="395"/>
      <c r="E28" s="102">
        <f>E14+E16+E22+E24+E25+E26</f>
        <v>2540201.3328118362</v>
      </c>
      <c r="F28" s="76"/>
    </row>
    <row r="29" spans="1:7" ht="17.25" thickTop="1" x14ac:dyDescent="0.25"/>
    <row r="30" spans="1:7" x14ac:dyDescent="0.25">
      <c r="A30" s="9" t="s">
        <v>238</v>
      </c>
      <c r="B30" s="16"/>
      <c r="C30" s="16"/>
      <c r="D30" s="16"/>
    </row>
    <row r="31" spans="1:7" x14ac:dyDescent="0.25">
      <c r="B31" s="333" t="s">
        <v>283</v>
      </c>
      <c r="C31" s="399" t="s">
        <v>308</v>
      </c>
      <c r="D31" s="399"/>
      <c r="E31" s="2" t="s">
        <v>240</v>
      </c>
    </row>
    <row r="32" spans="1:7" x14ac:dyDescent="0.25">
      <c r="A32" s="31"/>
      <c r="B32" s="342" t="s">
        <v>283</v>
      </c>
      <c r="C32" s="399" t="s">
        <v>309</v>
      </c>
      <c r="D32" s="399"/>
      <c r="E32" s="2" t="s">
        <v>248</v>
      </c>
    </row>
    <row r="33" spans="2:5" x14ac:dyDescent="0.25">
      <c r="B33" s="333" t="s">
        <v>283</v>
      </c>
      <c r="C33" s="399" t="s">
        <v>310</v>
      </c>
      <c r="D33" s="399"/>
      <c r="E33" s="2" t="s">
        <v>241</v>
      </c>
    </row>
    <row r="34" spans="2:5" x14ac:dyDescent="0.25">
      <c r="C34" s="63"/>
      <c r="D34" s="63"/>
      <c r="E34" s="136"/>
    </row>
    <row r="35" spans="2:5" x14ac:dyDescent="0.25">
      <c r="C35" s="63"/>
      <c r="D35" s="63"/>
      <c r="E35" s="126"/>
    </row>
    <row r="36" spans="2:5" x14ac:dyDescent="0.25">
      <c r="C36" s="63"/>
      <c r="D36" s="63"/>
      <c r="E36" s="67"/>
    </row>
    <row r="37" spans="2:5" x14ac:dyDescent="0.25">
      <c r="C37" s="63"/>
      <c r="D37" s="63"/>
      <c r="E37" s="63"/>
    </row>
    <row r="38" spans="2:5" x14ac:dyDescent="0.25">
      <c r="C38" s="63"/>
      <c r="D38" s="63"/>
      <c r="E38" s="37"/>
    </row>
    <row r="39" spans="2:5" x14ac:dyDescent="0.25">
      <c r="C39" s="63"/>
      <c r="D39" s="63"/>
      <c r="E39" s="63"/>
    </row>
  </sheetData>
  <mergeCells count="14">
    <mergeCell ref="C31:D31"/>
    <mergeCell ref="C33:D33"/>
    <mergeCell ref="C32:D32"/>
    <mergeCell ref="A3:E3"/>
    <mergeCell ref="A5:E5"/>
    <mergeCell ref="A6:E6"/>
    <mergeCell ref="A22:D22"/>
    <mergeCell ref="A28:D28"/>
    <mergeCell ref="A14:D14"/>
    <mergeCell ref="A11:D11"/>
    <mergeCell ref="A12:D12"/>
    <mergeCell ref="A13:D13"/>
    <mergeCell ref="A24:D24"/>
    <mergeCell ref="A16:D16"/>
  </mergeCells>
  <phoneticPr fontId="2" type="noConversion"/>
  <pageMargins left="1" right="0.25" top="1.25" bottom="0.25" header="0.5" footer="0.5"/>
  <pageSetup orientation="portrait" r:id="rId1"/>
  <headerFooter alignWithMargins="0">
    <oddHeader xml:space="preserve">&amp;R&amp;"Arial,Bold"&amp;14EXHIBIT P-3
SCHEDULE JMC-2
UPDATE-1  </oddHeader>
    <oddFooter xml:space="preserve">&amp;C&amp;K000000
</oddFooter>
  </headerFooter>
  <ignoredErrors>
    <ignoredError sqref="A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>
    <tabColor rgb="FF92D050"/>
    <pageSetUpPr fitToPage="1"/>
  </sheetPr>
  <dimension ref="A3:P30"/>
  <sheetViews>
    <sheetView topLeftCell="A6" zoomScaleNormal="100" workbookViewId="0">
      <selection activeCell="E22" sqref="E22"/>
    </sheetView>
  </sheetViews>
  <sheetFormatPr defaultRowHeight="12.75" x14ac:dyDescent="0.2"/>
  <cols>
    <col min="1" max="1" width="5" customWidth="1"/>
    <col min="4" max="4" width="14.140625" bestFit="1" customWidth="1"/>
    <col min="5" max="5" width="10.5703125" customWidth="1"/>
    <col min="7" max="7" width="6.28515625" customWidth="1"/>
    <col min="8" max="8" width="14.85546875" bestFit="1" customWidth="1"/>
    <col min="9" max="9" width="5.42578125" customWidth="1"/>
    <col min="10" max="10" width="21.7109375" style="40" bestFit="1" customWidth="1"/>
    <col min="11" max="11" width="6.7109375" customWidth="1"/>
    <col min="12" max="12" width="14.85546875" bestFit="1" customWidth="1"/>
    <col min="13" max="13" width="16.42578125" bestFit="1" customWidth="1"/>
    <col min="14" max="14" width="18.28515625" bestFit="1" customWidth="1"/>
  </cols>
  <sheetData>
    <row r="3" spans="1:16" ht="16.5" x14ac:dyDescent="0.25">
      <c r="A3" s="403" t="s">
        <v>109</v>
      </c>
      <c r="B3" s="397"/>
      <c r="C3" s="397"/>
      <c r="D3" s="397"/>
      <c r="E3" s="397"/>
      <c r="F3" s="397"/>
      <c r="G3" s="397"/>
      <c r="H3" s="397"/>
      <c r="I3" s="397"/>
      <c r="J3" s="397"/>
      <c r="K3" s="49"/>
      <c r="L3" s="49"/>
      <c r="M3" s="49"/>
      <c r="N3" s="49"/>
    </row>
    <row r="4" spans="1:16" ht="16.5" x14ac:dyDescent="0.25">
      <c r="A4" s="27"/>
      <c r="B4" s="27"/>
      <c r="C4" s="27"/>
      <c r="D4" s="27"/>
      <c r="E4" s="27"/>
      <c r="F4" s="27"/>
      <c r="G4" s="27"/>
      <c r="H4" s="27"/>
      <c r="I4" s="27"/>
      <c r="J4" s="41"/>
      <c r="K4" s="27"/>
    </row>
    <row r="5" spans="1:16" ht="16.5" x14ac:dyDescent="0.25">
      <c r="A5" s="396" t="s">
        <v>61</v>
      </c>
      <c r="B5" s="396"/>
      <c r="C5" s="396"/>
      <c r="D5" s="396"/>
      <c r="E5" s="396"/>
      <c r="F5" s="396"/>
      <c r="G5" s="396"/>
      <c r="H5" s="396"/>
      <c r="I5" s="396"/>
      <c r="J5" s="396"/>
      <c r="K5" s="54"/>
      <c r="L5" s="54"/>
      <c r="M5" s="54"/>
      <c r="N5" s="54"/>
    </row>
    <row r="6" spans="1:16" ht="16.5" x14ac:dyDescent="0.25">
      <c r="A6" s="397" t="s">
        <v>46</v>
      </c>
      <c r="B6" s="397"/>
      <c r="C6" s="397"/>
      <c r="D6" s="397"/>
      <c r="E6" s="397"/>
      <c r="F6" s="397"/>
      <c r="G6" s="397"/>
      <c r="H6" s="397"/>
      <c r="I6" s="397"/>
      <c r="J6" s="397"/>
      <c r="K6" s="49"/>
      <c r="L6" s="49"/>
      <c r="M6" s="281"/>
      <c r="N6" s="304"/>
      <c r="O6" s="93"/>
      <c r="P6" s="93"/>
    </row>
    <row r="7" spans="1:16" ht="16.5" x14ac:dyDescent="0.25">
      <c r="A7" s="398" t="s">
        <v>50</v>
      </c>
      <c r="B7" s="398"/>
      <c r="C7" s="398"/>
      <c r="D7" s="398"/>
      <c r="E7" s="398"/>
      <c r="F7" s="398"/>
      <c r="G7" s="398"/>
      <c r="H7" s="398"/>
      <c r="I7" s="398"/>
      <c r="J7" s="398"/>
      <c r="K7" s="50"/>
      <c r="L7" s="50"/>
      <c r="M7" s="305"/>
      <c r="N7" s="306"/>
      <c r="O7" s="93"/>
      <c r="P7" s="93"/>
    </row>
    <row r="8" spans="1:16" ht="16.5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50"/>
      <c r="L8" s="50"/>
      <c r="M8" s="305"/>
      <c r="N8" s="306"/>
      <c r="O8" s="93"/>
      <c r="P8" s="93"/>
    </row>
    <row r="9" spans="1:16" ht="16.5" x14ac:dyDescent="0.25">
      <c r="A9" s="3"/>
      <c r="B9" s="3"/>
      <c r="C9" s="3"/>
      <c r="D9" s="3"/>
      <c r="E9" s="3"/>
      <c r="F9" s="3"/>
      <c r="G9" s="3"/>
      <c r="H9" s="3"/>
      <c r="I9" s="3"/>
      <c r="J9" s="52" t="s">
        <v>77</v>
      </c>
      <c r="K9" s="3"/>
      <c r="L9" s="3"/>
      <c r="M9" s="147"/>
      <c r="N9" s="307"/>
      <c r="O9" s="93"/>
      <c r="P9" s="93"/>
    </row>
    <row r="10" spans="1:16" ht="16.5" x14ac:dyDescent="0.25">
      <c r="A10" s="3"/>
      <c r="B10" s="3"/>
      <c r="C10" s="3"/>
      <c r="D10" s="3"/>
      <c r="E10" s="3"/>
      <c r="F10" s="3"/>
      <c r="G10" s="3"/>
      <c r="H10" s="3"/>
      <c r="I10" s="3"/>
      <c r="J10" s="166" t="s">
        <v>249</v>
      </c>
      <c r="K10" s="3"/>
      <c r="L10" s="3"/>
      <c r="M10" s="147"/>
      <c r="N10" s="147"/>
      <c r="O10" s="93"/>
      <c r="P10" s="93"/>
    </row>
    <row r="11" spans="1:16" ht="16.5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53"/>
      <c r="K11" s="176"/>
      <c r="L11" s="176"/>
      <c r="M11" s="147"/>
      <c r="N11" s="147"/>
      <c r="O11" s="93"/>
      <c r="P11" s="93"/>
    </row>
    <row r="12" spans="1:16" ht="16.5" x14ac:dyDescent="0.25">
      <c r="A12" s="420" t="s">
        <v>147</v>
      </c>
      <c r="B12" s="420"/>
      <c r="C12" s="420"/>
      <c r="D12" s="420"/>
      <c r="E12" s="420"/>
      <c r="F12" s="176"/>
      <c r="G12" s="176"/>
      <c r="H12" s="176"/>
      <c r="I12" s="176"/>
      <c r="J12" s="53"/>
      <c r="K12" s="176"/>
      <c r="L12" s="176"/>
      <c r="M12" s="147"/>
      <c r="N12" s="147"/>
      <c r="O12" s="93"/>
      <c r="P12" s="93"/>
    </row>
    <row r="13" spans="1:16" ht="16.5" x14ac:dyDescent="0.25">
      <c r="A13" s="11"/>
      <c r="B13" s="419" t="s">
        <v>144</v>
      </c>
      <c r="C13" s="419"/>
      <c r="D13" s="419"/>
      <c r="E13" s="419"/>
      <c r="F13" s="176"/>
      <c r="G13" s="176"/>
      <c r="H13" s="383">
        <f>'[15]Outside Services'!$C$9/1000</f>
        <v>850</v>
      </c>
      <c r="I13" s="176"/>
      <c r="J13" s="53"/>
      <c r="K13" s="176"/>
      <c r="L13" s="176"/>
      <c r="M13" s="147"/>
      <c r="N13" s="289"/>
      <c r="O13" s="93"/>
      <c r="P13" s="93"/>
    </row>
    <row r="14" spans="1:16" ht="16.5" x14ac:dyDescent="0.25">
      <c r="A14" s="11"/>
      <c r="B14" s="419" t="s">
        <v>145</v>
      </c>
      <c r="C14" s="419"/>
      <c r="D14" s="419"/>
      <c r="E14" s="419"/>
      <c r="F14" s="176"/>
      <c r="G14" s="176"/>
      <c r="H14" s="183">
        <f>'[15]Outside Services'!$C$17/1000</f>
        <v>360</v>
      </c>
      <c r="I14" s="176"/>
      <c r="J14" s="53"/>
      <c r="K14" s="176"/>
      <c r="L14" s="176"/>
      <c r="M14" s="147"/>
      <c r="N14" s="289"/>
      <c r="O14" s="93"/>
      <c r="P14" s="93"/>
    </row>
    <row r="15" spans="1:16" ht="16.5" x14ac:dyDescent="0.25">
      <c r="A15" s="11"/>
      <c r="B15" s="419" t="s">
        <v>136</v>
      </c>
      <c r="C15" s="419"/>
      <c r="D15" s="419"/>
      <c r="E15" s="419"/>
      <c r="F15" s="176"/>
      <c r="G15" s="176"/>
      <c r="H15" s="184">
        <f>2500/1000</f>
        <v>2.5</v>
      </c>
      <c r="I15" s="176"/>
      <c r="J15" s="53"/>
      <c r="K15" s="176"/>
      <c r="L15" s="176"/>
      <c r="M15" s="147"/>
      <c r="N15" s="289"/>
      <c r="O15" s="93"/>
      <c r="P15" s="93"/>
    </row>
    <row r="16" spans="1:16" ht="16.5" x14ac:dyDescent="0.25">
      <c r="A16" s="176"/>
      <c r="B16" s="176"/>
      <c r="C16" s="419" t="s">
        <v>146</v>
      </c>
      <c r="D16" s="419"/>
      <c r="E16" s="419"/>
      <c r="F16" s="419"/>
      <c r="G16" s="176"/>
      <c r="H16" s="231">
        <f>SUM(H13:H15)</f>
        <v>1212.5</v>
      </c>
      <c r="I16" s="176"/>
      <c r="J16" s="180"/>
      <c r="K16" s="176"/>
      <c r="L16" s="176"/>
      <c r="M16" s="147"/>
      <c r="N16" s="289"/>
      <c r="O16" s="93"/>
      <c r="P16" s="93"/>
    </row>
    <row r="17" spans="1:16" ht="16.5" x14ac:dyDescent="0.25">
      <c r="A17" s="264"/>
      <c r="B17" s="264"/>
      <c r="C17" s="265"/>
      <c r="D17" s="265"/>
      <c r="E17" s="265"/>
      <c r="F17" s="265"/>
      <c r="G17" s="264"/>
      <c r="H17" s="231"/>
      <c r="I17" s="264"/>
      <c r="J17" s="180"/>
      <c r="K17" s="264"/>
      <c r="L17" s="264"/>
      <c r="M17" s="147"/>
      <c r="N17" s="307"/>
      <c r="O17" s="93"/>
      <c r="P17" s="93"/>
    </row>
    <row r="18" spans="1:16" ht="16.5" x14ac:dyDescent="0.25">
      <c r="A18" s="421" t="s">
        <v>186</v>
      </c>
      <c r="B18" s="421"/>
      <c r="C18" s="421"/>
      <c r="D18" s="265"/>
      <c r="E18" s="265"/>
      <c r="F18" s="265"/>
      <c r="G18" s="264"/>
      <c r="H18" s="231">
        <f>H16/2</f>
        <v>606.25</v>
      </c>
      <c r="I18" s="264"/>
      <c r="J18" s="180"/>
      <c r="K18" s="264"/>
      <c r="L18" s="264"/>
      <c r="M18" s="147"/>
      <c r="N18" s="147"/>
      <c r="O18" s="93"/>
      <c r="P18" s="93"/>
    </row>
    <row r="19" spans="1:16" ht="16.5" x14ac:dyDescent="0.25">
      <c r="A19" s="176"/>
      <c r="B19" s="176"/>
      <c r="C19" s="176"/>
      <c r="D19" s="176"/>
      <c r="E19" s="176"/>
      <c r="F19" s="176"/>
      <c r="G19" s="176"/>
      <c r="H19" s="182"/>
      <c r="I19" s="176"/>
      <c r="J19" s="180"/>
      <c r="K19" s="176"/>
      <c r="L19" s="176"/>
      <c r="M19" s="176"/>
      <c r="N19" s="147"/>
    </row>
    <row r="20" spans="1:16" ht="16.5" x14ac:dyDescent="0.25">
      <c r="A20" s="401" t="s">
        <v>69</v>
      </c>
      <c r="B20" s="401"/>
      <c r="C20" s="401"/>
      <c r="D20" s="401"/>
      <c r="E20" s="178"/>
      <c r="F20" s="178"/>
      <c r="G20" s="178"/>
      <c r="H20" s="24">
        <v>2</v>
      </c>
      <c r="I20" s="178"/>
      <c r="J20" s="181"/>
      <c r="K20" s="176"/>
      <c r="L20" s="176"/>
      <c r="M20" s="176"/>
      <c r="N20" s="147"/>
    </row>
    <row r="21" spans="1:16" ht="16.5" x14ac:dyDescent="0.25">
      <c r="A21" s="176"/>
      <c r="B21" s="176"/>
      <c r="C21" s="176"/>
      <c r="D21" s="176"/>
      <c r="E21" s="176"/>
      <c r="F21" s="176"/>
      <c r="G21" s="176"/>
      <c r="H21" s="176"/>
      <c r="I21" s="176"/>
      <c r="J21" s="180"/>
      <c r="K21" s="176"/>
      <c r="L21" s="176"/>
      <c r="M21" s="176"/>
      <c r="N21" s="147"/>
    </row>
    <row r="22" spans="1:16" ht="16.5" x14ac:dyDescent="0.25">
      <c r="A22" s="401" t="s">
        <v>148</v>
      </c>
      <c r="B22" s="401"/>
      <c r="C22" s="401"/>
      <c r="D22" s="401"/>
      <c r="E22" s="401"/>
      <c r="F22" s="401"/>
      <c r="G22" s="401"/>
      <c r="H22" s="219"/>
      <c r="I22" s="219"/>
      <c r="J22" s="37">
        <f>H18/H20</f>
        <v>303.125</v>
      </c>
      <c r="K22" s="176"/>
      <c r="L22" s="176"/>
      <c r="M22" s="176"/>
      <c r="N22" s="147"/>
    </row>
    <row r="23" spans="1:16" ht="16.5" x14ac:dyDescent="0.25">
      <c r="A23" s="176"/>
      <c r="B23" s="176"/>
      <c r="C23" s="176"/>
      <c r="D23" s="176"/>
      <c r="E23" s="176"/>
      <c r="F23" s="176"/>
      <c r="G23" s="176"/>
      <c r="H23" s="176"/>
      <c r="I23" s="176"/>
      <c r="J23" s="53"/>
      <c r="K23" s="176"/>
      <c r="L23" s="176"/>
      <c r="M23" s="176"/>
      <c r="N23" s="147"/>
    </row>
    <row r="24" spans="1:16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2"/>
      <c r="N24" s="37"/>
    </row>
    <row r="25" spans="1:16" ht="16.5" x14ac:dyDescent="0.25">
      <c r="A25" s="401" t="s">
        <v>192</v>
      </c>
      <c r="B25" s="401"/>
      <c r="C25" s="401"/>
      <c r="D25" s="401"/>
      <c r="E25" s="401"/>
      <c r="F25" s="401"/>
      <c r="G25" s="401"/>
      <c r="H25" s="401"/>
      <c r="I25" s="401"/>
      <c r="J25" s="46">
        <f>J22*0.2811</f>
        <v>85.208437500000002</v>
      </c>
      <c r="K25" s="86"/>
      <c r="M25" s="86"/>
      <c r="N25" s="45"/>
    </row>
    <row r="26" spans="1:16" ht="16.5" x14ac:dyDescent="0.25">
      <c r="A26" s="2"/>
      <c r="B26" s="2"/>
      <c r="C26" s="2"/>
      <c r="D26" s="2"/>
      <c r="E26" s="2"/>
      <c r="F26" s="2"/>
      <c r="G26" s="2"/>
      <c r="H26" s="2"/>
      <c r="I26" s="2"/>
      <c r="J26" s="39"/>
      <c r="N26" s="77"/>
    </row>
    <row r="27" spans="1:16" ht="17.25" thickBot="1" x14ac:dyDescent="0.3">
      <c r="A27" s="2"/>
      <c r="B27" s="9" t="s">
        <v>84</v>
      </c>
      <c r="C27" s="2"/>
      <c r="D27" s="2"/>
      <c r="E27" s="2"/>
      <c r="F27" s="2"/>
      <c r="G27" s="2"/>
      <c r="H27" s="2"/>
      <c r="I27" s="2"/>
      <c r="J27" s="62">
        <f>J25-J22</f>
        <v>-217.9165625</v>
      </c>
      <c r="N27" s="37"/>
    </row>
    <row r="28" spans="1:16" ht="13.5" thickTop="1" x14ac:dyDescent="0.2">
      <c r="L28" s="40"/>
    </row>
    <row r="29" spans="1:16" ht="16.5" x14ac:dyDescent="0.25">
      <c r="A29" s="9" t="s">
        <v>238</v>
      </c>
    </row>
    <row r="30" spans="1:16" ht="16.5" x14ac:dyDescent="0.25">
      <c r="C30" s="333" t="s">
        <v>239</v>
      </c>
      <c r="D30" s="399" t="s">
        <v>313</v>
      </c>
      <c r="E30" s="399"/>
      <c r="F30" s="2" t="s">
        <v>46</v>
      </c>
    </row>
  </sheetData>
  <mergeCells count="14">
    <mergeCell ref="D30:E30"/>
    <mergeCell ref="A20:D20"/>
    <mergeCell ref="A22:G22"/>
    <mergeCell ref="A25:I25"/>
    <mergeCell ref="A3:J3"/>
    <mergeCell ref="B13:E13"/>
    <mergeCell ref="B14:E14"/>
    <mergeCell ref="B15:E15"/>
    <mergeCell ref="C16:F16"/>
    <mergeCell ref="A12:E12"/>
    <mergeCell ref="A7:J7"/>
    <mergeCell ref="A6:J6"/>
    <mergeCell ref="A5:J5"/>
    <mergeCell ref="A18:C18"/>
  </mergeCells>
  <phoneticPr fontId="2" type="noConversion"/>
  <pageMargins left="1" right="0.25" top="1.25" bottom="0.25" header="0.5" footer="0.5"/>
  <pageSetup scale="84" orientation="portrait" r:id="rId1"/>
  <headerFooter alignWithMargins="0">
    <oddHeader xml:space="preserve">&amp;R&amp;"Arial,Bold"&amp;14EXHIBIT P-3
SCHEDULE JMC-20
UPDATE-1  </oddHeader>
    <oddFooter xml:space="preserve">&amp;C&amp;K000000
</oddFooter>
  </headerFooter>
  <ignoredErrors>
    <ignoredError sqref="A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3:P26"/>
  <sheetViews>
    <sheetView zoomScaleNormal="100" workbookViewId="0">
      <selection activeCell="E22" sqref="E22"/>
    </sheetView>
  </sheetViews>
  <sheetFormatPr defaultRowHeight="12.75" x14ac:dyDescent="0.2"/>
  <cols>
    <col min="1" max="1" width="23.5703125" customWidth="1"/>
    <col min="2" max="2" width="12.42578125" customWidth="1"/>
    <col min="3" max="3" width="12.28515625" customWidth="1"/>
    <col min="4" max="4" width="3" customWidth="1"/>
    <col min="7" max="7" width="16.140625" bestFit="1" customWidth="1"/>
    <col min="8" max="8" width="4.5703125" customWidth="1"/>
    <col min="9" max="9" width="21.7109375" bestFit="1" customWidth="1"/>
    <col min="10" max="10" width="4.7109375" customWidth="1"/>
    <col min="11" max="11" width="12.28515625" bestFit="1" customWidth="1"/>
    <col min="12" max="12" width="4.42578125" customWidth="1"/>
    <col min="13" max="13" width="15" bestFit="1" customWidth="1"/>
    <col min="15" max="15" width="12.85546875" bestFit="1" customWidth="1"/>
    <col min="16" max="16" width="10.28515625" bestFit="1" customWidth="1"/>
  </cols>
  <sheetData>
    <row r="3" spans="1:16" s="2" customFormat="1" ht="16.5" x14ac:dyDescent="0.25">
      <c r="A3" s="403" t="s">
        <v>109</v>
      </c>
      <c r="B3" s="403"/>
      <c r="C3" s="403"/>
      <c r="D3" s="403"/>
      <c r="E3" s="403"/>
      <c r="F3" s="403"/>
      <c r="G3" s="403"/>
      <c r="H3" s="403"/>
      <c r="I3" s="403"/>
      <c r="J3" s="49"/>
      <c r="K3" s="49"/>
      <c r="L3" s="49"/>
      <c r="M3" s="49"/>
    </row>
    <row r="4" spans="1:16" s="2" customFormat="1" ht="16.5" x14ac:dyDescent="0.25">
      <c r="A4" s="27"/>
      <c r="B4" s="27"/>
      <c r="C4" s="27"/>
      <c r="D4" s="27"/>
      <c r="E4" s="175"/>
      <c r="F4" s="175"/>
      <c r="G4" s="27"/>
      <c r="H4" s="27"/>
      <c r="I4" s="27"/>
      <c r="J4" s="27"/>
      <c r="K4" s="41"/>
      <c r="L4" s="27"/>
    </row>
    <row r="5" spans="1:16" s="2" customFormat="1" ht="16.5" x14ac:dyDescent="0.25">
      <c r="A5" s="395" t="s">
        <v>141</v>
      </c>
      <c r="B5" s="395"/>
      <c r="C5" s="395"/>
      <c r="D5" s="395"/>
      <c r="E5" s="395"/>
      <c r="F5" s="395"/>
      <c r="G5" s="395"/>
      <c r="H5" s="395"/>
      <c r="I5" s="395"/>
      <c r="J5" s="131"/>
      <c r="K5" s="131"/>
      <c r="L5" s="131"/>
      <c r="M5" s="131"/>
    </row>
    <row r="6" spans="1:16" s="2" customFormat="1" ht="16.5" x14ac:dyDescent="0.25">
      <c r="A6" s="403" t="s">
        <v>103</v>
      </c>
      <c r="B6" s="403"/>
      <c r="C6" s="403"/>
      <c r="D6" s="403"/>
      <c r="E6" s="403"/>
      <c r="F6" s="403"/>
      <c r="G6" s="403"/>
      <c r="H6" s="403"/>
      <c r="I6" s="403"/>
      <c r="J6" s="49"/>
      <c r="K6" s="49"/>
      <c r="L6" s="49"/>
      <c r="M6" s="49"/>
    </row>
    <row r="7" spans="1:16" s="2" customFormat="1" ht="16.5" x14ac:dyDescent="0.25">
      <c r="A7" s="396" t="s">
        <v>50</v>
      </c>
      <c r="B7" s="396"/>
      <c r="C7" s="396"/>
      <c r="D7" s="396"/>
      <c r="E7" s="396"/>
      <c r="F7" s="396"/>
      <c r="G7" s="396"/>
      <c r="H7" s="396"/>
      <c r="I7" s="396"/>
      <c r="J7" s="50"/>
      <c r="K7" s="50"/>
      <c r="L7" s="50"/>
      <c r="M7" s="50"/>
    </row>
    <row r="9" spans="1:16" ht="16.5" x14ac:dyDescent="0.25">
      <c r="I9" s="52" t="s">
        <v>77</v>
      </c>
      <c r="M9" s="93"/>
    </row>
    <row r="10" spans="1:16" ht="16.5" x14ac:dyDescent="0.25">
      <c r="I10" s="166" t="s">
        <v>249</v>
      </c>
      <c r="J10" s="12"/>
      <c r="K10" s="93"/>
      <c r="L10" s="12"/>
      <c r="M10" s="127"/>
      <c r="P10" s="86"/>
    </row>
    <row r="11" spans="1:16" ht="16.5" customHeight="1" x14ac:dyDescent="0.2">
      <c r="K11" s="93"/>
      <c r="M11" s="368"/>
    </row>
    <row r="12" spans="1:16" ht="16.5" customHeight="1" x14ac:dyDescent="0.25">
      <c r="A12" s="401" t="s">
        <v>149</v>
      </c>
      <c r="B12" s="401"/>
      <c r="C12" s="401"/>
      <c r="D12" s="401"/>
      <c r="E12" s="177"/>
      <c r="F12" s="177"/>
      <c r="I12" s="32">
        <f>([7]Additions!$DK$93-[7]Additions!$DI$93)/1000</f>
        <v>27096.498465622379</v>
      </c>
      <c r="J12" s="260"/>
      <c r="K12" s="141"/>
      <c r="L12" s="115"/>
      <c r="M12" s="357"/>
      <c r="O12" s="181"/>
    </row>
    <row r="13" spans="1:16" ht="16.5" customHeight="1" x14ac:dyDescent="0.2">
      <c r="K13" s="93"/>
      <c r="M13" s="372"/>
    </row>
    <row r="14" spans="1:16" ht="16.5" x14ac:dyDescent="0.25">
      <c r="A14" s="401" t="s">
        <v>104</v>
      </c>
      <c r="B14" s="401"/>
      <c r="C14" s="401"/>
      <c r="D14" s="401"/>
      <c r="E14" s="177"/>
      <c r="F14" s="177"/>
      <c r="G14" s="32">
        <f>[7]Additions!$DI$93/1000</f>
        <v>90560.653999260103</v>
      </c>
      <c r="H14" s="2"/>
      <c r="J14" s="272"/>
      <c r="K14" s="364"/>
      <c r="L14" s="273"/>
      <c r="M14" s="273"/>
    </row>
    <row r="15" spans="1:16" ht="16.5" x14ac:dyDescent="0.25">
      <c r="A15" s="401" t="s">
        <v>105</v>
      </c>
      <c r="B15" s="401"/>
      <c r="C15" s="401"/>
      <c r="D15" s="401"/>
      <c r="E15" s="177"/>
      <c r="F15" s="177"/>
      <c r="G15" s="363">
        <f>'[10]FERC IS'!$U$143/1000</f>
        <v>78592.673949999997</v>
      </c>
      <c r="H15" s="2"/>
      <c r="J15" s="273"/>
      <c r="K15" s="367"/>
      <c r="L15" s="273"/>
      <c r="M15" s="273"/>
    </row>
    <row r="16" spans="1:16" ht="16.5" x14ac:dyDescent="0.25">
      <c r="A16" s="401" t="s">
        <v>150</v>
      </c>
      <c r="B16" s="401"/>
      <c r="C16" s="401"/>
      <c r="D16" s="401"/>
      <c r="E16" s="177"/>
      <c r="F16" s="177"/>
      <c r="G16" s="108"/>
      <c r="H16" s="2"/>
      <c r="I16" s="185">
        <f>G14-G15</f>
        <v>11967.980049260106</v>
      </c>
      <c r="J16" s="15"/>
      <c r="K16" s="141"/>
    </row>
    <row r="17" spans="1:13" ht="16.5" x14ac:dyDescent="0.25">
      <c r="A17" s="255"/>
      <c r="B17" s="255"/>
      <c r="C17" s="255"/>
      <c r="D17" s="255"/>
      <c r="E17" s="255"/>
      <c r="F17" s="255"/>
      <c r="G17" s="108"/>
      <c r="H17" s="2"/>
      <c r="I17" s="141"/>
      <c r="J17" s="15"/>
      <c r="K17" s="93"/>
    </row>
    <row r="18" spans="1:13" ht="16.5" x14ac:dyDescent="0.25">
      <c r="A18" s="401" t="s">
        <v>45</v>
      </c>
      <c r="B18" s="401"/>
      <c r="C18" s="401"/>
      <c r="D18" s="401"/>
      <c r="E18" s="177"/>
      <c r="F18" s="177"/>
      <c r="G18" s="2"/>
      <c r="H18" s="2"/>
      <c r="I18" s="141">
        <f>I12+I16</f>
        <v>39064.478514882489</v>
      </c>
      <c r="J18" s="40"/>
      <c r="K18" s="93"/>
      <c r="M18" s="143"/>
    </row>
    <row r="19" spans="1:13" ht="16.5" x14ac:dyDescent="0.25">
      <c r="A19" s="2"/>
      <c r="B19" s="2"/>
      <c r="C19" s="2"/>
      <c r="D19" s="2"/>
      <c r="E19" s="2"/>
      <c r="F19" s="2"/>
      <c r="G19" s="2"/>
      <c r="H19" s="2"/>
      <c r="I19" s="70"/>
      <c r="J19" s="40"/>
      <c r="K19" s="93"/>
      <c r="M19" s="142"/>
    </row>
    <row r="20" spans="1:13" ht="16.5" x14ac:dyDescent="0.25">
      <c r="A20" s="410" t="s">
        <v>192</v>
      </c>
      <c r="B20" s="412"/>
      <c r="C20" s="412"/>
      <c r="D20" s="412"/>
      <c r="E20" s="179"/>
      <c r="F20" s="179"/>
      <c r="G20" s="31"/>
      <c r="H20" s="31"/>
      <c r="I20" s="288">
        <f>I18*0.2811</f>
        <v>10981.024910533468</v>
      </c>
      <c r="J20" s="87"/>
      <c r="K20" s="93"/>
      <c r="L20" s="86"/>
      <c r="M20" s="108"/>
    </row>
    <row r="21" spans="1:13" ht="16.5" x14ac:dyDescent="0.25">
      <c r="A21" s="2"/>
      <c r="B21" s="9"/>
      <c r="C21" s="2"/>
      <c r="D21" s="2"/>
      <c r="E21" s="2"/>
      <c r="F21" s="2"/>
      <c r="G21" s="2"/>
      <c r="H21" s="2"/>
      <c r="I21" s="70"/>
      <c r="J21" s="40"/>
      <c r="K21" s="93"/>
      <c r="M21" s="142"/>
    </row>
    <row r="22" spans="1:13" ht="17.25" thickBot="1" x14ac:dyDescent="0.3">
      <c r="A22" s="406" t="s">
        <v>84</v>
      </c>
      <c r="B22" s="406"/>
      <c r="C22" s="406"/>
      <c r="D22" s="406"/>
      <c r="E22" s="406"/>
      <c r="F22" s="406"/>
      <c r="G22" s="406"/>
      <c r="H22" s="2"/>
      <c r="I22" s="263">
        <f>I20-I18</f>
        <v>-28083.453604349022</v>
      </c>
      <c r="J22" s="40"/>
      <c r="K22" s="259"/>
      <c r="M22" s="150"/>
    </row>
    <row r="23" spans="1:13" ht="13.5" thickTop="1" x14ac:dyDescent="0.2">
      <c r="I23" s="51"/>
      <c r="J23" s="40"/>
      <c r="M23" s="93"/>
    </row>
    <row r="24" spans="1:13" ht="16.5" x14ac:dyDescent="0.25">
      <c r="A24" s="9" t="s">
        <v>238</v>
      </c>
    </row>
    <row r="25" spans="1:13" ht="16.5" x14ac:dyDescent="0.25">
      <c r="A25" s="333" t="s">
        <v>283</v>
      </c>
      <c r="B25" s="399" t="s">
        <v>303</v>
      </c>
      <c r="C25" s="399"/>
      <c r="E25" s="2" t="s">
        <v>272</v>
      </c>
    </row>
    <row r="26" spans="1:13" ht="16.5" x14ac:dyDescent="0.25">
      <c r="A26" s="333" t="s">
        <v>283</v>
      </c>
      <c r="B26" s="399" t="s">
        <v>285</v>
      </c>
      <c r="C26" s="399"/>
      <c r="E26" s="2" t="s">
        <v>275</v>
      </c>
    </row>
  </sheetData>
  <mergeCells count="13">
    <mergeCell ref="B25:C25"/>
    <mergeCell ref="B26:C26"/>
    <mergeCell ref="A22:G22"/>
    <mergeCell ref="A15:D15"/>
    <mergeCell ref="A18:D18"/>
    <mergeCell ref="A20:D20"/>
    <mergeCell ref="A16:D16"/>
    <mergeCell ref="A3:I3"/>
    <mergeCell ref="A5:I5"/>
    <mergeCell ref="A6:I6"/>
    <mergeCell ref="A7:I7"/>
    <mergeCell ref="A14:D14"/>
    <mergeCell ref="A12:D12"/>
  </mergeCells>
  <phoneticPr fontId="2" type="noConversion"/>
  <pageMargins left="1" right="0.25" top="1.25" bottom="0.25" header="0.5" footer="0.5"/>
  <pageSetup scale="80" orientation="portrait" r:id="rId1"/>
  <headerFooter alignWithMargins="0">
    <oddHeader xml:space="preserve">&amp;R&amp;"Arial,Bold"&amp;14EXHIBIT P-3
SCHEDULE JMC-21
UPDATE-1  </oddHeader>
    <oddFooter xml:space="preserve">&amp;C&amp;K000000
</oddFooter>
  </headerFooter>
  <ignoredErrors>
    <ignoredError sqref="A7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92D050"/>
    <pageSetUpPr fitToPage="1"/>
  </sheetPr>
  <dimension ref="A3:M20"/>
  <sheetViews>
    <sheetView zoomScaleNormal="100" workbookViewId="0">
      <selection activeCell="E22" sqref="E22"/>
    </sheetView>
  </sheetViews>
  <sheetFormatPr defaultRowHeight="12.75" x14ac:dyDescent="0.2"/>
  <cols>
    <col min="1" max="1" width="9.140625" style="1"/>
    <col min="2" max="2" width="17.140625" customWidth="1"/>
    <col min="3" max="3" width="14.140625" bestFit="1" customWidth="1"/>
    <col min="4" max="4" width="13.140625" customWidth="1"/>
    <col min="5" max="5" width="15.85546875" customWidth="1"/>
    <col min="6" max="6" width="8.85546875" customWidth="1"/>
    <col min="7" max="7" width="13.85546875" customWidth="1"/>
    <col min="8" max="8" width="21.7109375" bestFit="1" customWidth="1"/>
    <col min="9" max="9" width="20.5703125" style="40" customWidth="1"/>
    <col min="10" max="10" width="6.28515625" customWidth="1"/>
    <col min="11" max="11" width="11.42578125" bestFit="1" customWidth="1"/>
    <col min="13" max="13" width="11.42578125" bestFit="1" customWidth="1"/>
  </cols>
  <sheetData>
    <row r="3" spans="1:13" ht="16.5" x14ac:dyDescent="0.25">
      <c r="A3" s="403" t="s">
        <v>109</v>
      </c>
      <c r="B3" s="397"/>
      <c r="C3" s="397"/>
      <c r="D3" s="397"/>
      <c r="E3" s="397"/>
      <c r="F3" s="397"/>
      <c r="G3" s="397"/>
      <c r="H3" s="397"/>
      <c r="I3" s="397"/>
      <c r="J3" s="49"/>
      <c r="K3" s="49"/>
      <c r="L3" s="49"/>
      <c r="M3" s="49"/>
    </row>
    <row r="4" spans="1:13" ht="16.5" x14ac:dyDescent="0.25">
      <c r="A4" s="27"/>
      <c r="B4" s="27"/>
      <c r="C4" s="27"/>
      <c r="D4" s="27"/>
      <c r="E4" s="27"/>
      <c r="F4" s="252"/>
      <c r="G4" s="27"/>
      <c r="H4" s="27"/>
      <c r="I4" s="41"/>
      <c r="J4" s="27"/>
    </row>
    <row r="5" spans="1:13" ht="16.5" x14ac:dyDescent="0.25">
      <c r="A5" s="395" t="s">
        <v>66</v>
      </c>
      <c r="B5" s="396"/>
      <c r="C5" s="396"/>
      <c r="D5" s="396"/>
      <c r="E5" s="396"/>
      <c r="F5" s="396"/>
      <c r="G5" s="396"/>
      <c r="H5" s="396"/>
      <c r="I5" s="396"/>
      <c r="J5" s="54"/>
      <c r="K5" s="54"/>
      <c r="L5" s="54"/>
      <c r="M5" s="54"/>
    </row>
    <row r="6" spans="1:13" ht="16.5" x14ac:dyDescent="0.25">
      <c r="A6" s="397" t="s">
        <v>182</v>
      </c>
      <c r="B6" s="397"/>
      <c r="C6" s="397"/>
      <c r="D6" s="397"/>
      <c r="E6" s="397"/>
      <c r="F6" s="397"/>
      <c r="G6" s="397"/>
      <c r="H6" s="397"/>
      <c r="I6" s="397"/>
      <c r="J6" s="49"/>
      <c r="K6" s="49"/>
      <c r="L6" s="49"/>
      <c r="M6" s="49"/>
    </row>
    <row r="7" spans="1:13" ht="16.5" x14ac:dyDescent="0.25">
      <c r="A7" s="398" t="s">
        <v>50</v>
      </c>
      <c r="B7" s="398"/>
      <c r="C7" s="398"/>
      <c r="D7" s="398"/>
      <c r="E7" s="398"/>
      <c r="F7" s="398"/>
      <c r="G7" s="398"/>
      <c r="H7" s="398"/>
      <c r="I7" s="398"/>
      <c r="J7" s="50"/>
      <c r="K7" s="50"/>
      <c r="L7" s="50"/>
      <c r="M7" s="50"/>
    </row>
    <row r="8" spans="1:13" ht="16.5" x14ac:dyDescent="0.25">
      <c r="A8"/>
      <c r="H8" s="165" t="s">
        <v>77</v>
      </c>
      <c r="I8" s="39"/>
      <c r="J8" s="2"/>
      <c r="M8" s="77"/>
    </row>
    <row r="9" spans="1:13" ht="16.5" x14ac:dyDescent="0.25">
      <c r="A9"/>
      <c r="H9" s="166" t="s">
        <v>249</v>
      </c>
      <c r="I9" s="39"/>
      <c r="J9" s="2"/>
      <c r="M9" s="77"/>
    </row>
    <row r="10" spans="1:13" ht="16.5" x14ac:dyDescent="0.25">
      <c r="A10"/>
      <c r="H10" s="40"/>
      <c r="I10" s="39"/>
      <c r="J10" s="2"/>
      <c r="M10" s="77"/>
    </row>
    <row r="11" spans="1:13" ht="16.5" x14ac:dyDescent="0.25">
      <c r="A11" s="401" t="s">
        <v>183</v>
      </c>
      <c r="B11" s="401"/>
      <c r="C11" s="401"/>
      <c r="D11" s="401"/>
      <c r="H11" s="98">
        <f>[16]SAVEGREEN!$N$5/1000</f>
        <v>6452.4723568610279</v>
      </c>
      <c r="I11" s="39"/>
      <c r="J11" s="2"/>
      <c r="M11" s="77"/>
    </row>
    <row r="12" spans="1:13" ht="16.5" x14ac:dyDescent="0.25">
      <c r="A12" s="401"/>
      <c r="B12" s="401"/>
      <c r="C12" s="401"/>
      <c r="D12" s="401"/>
      <c r="E12" s="2"/>
      <c r="F12" s="2"/>
      <c r="G12" s="2"/>
      <c r="H12" s="46"/>
      <c r="J12" s="2"/>
      <c r="M12" s="37"/>
    </row>
    <row r="13" spans="1:13" ht="16.5" x14ac:dyDescent="0.25">
      <c r="A13" s="401" t="s">
        <v>45</v>
      </c>
      <c r="B13" s="401"/>
      <c r="C13" s="401"/>
      <c r="D13" s="401"/>
      <c r="E13" s="2"/>
      <c r="F13" s="2"/>
      <c r="G13" s="2"/>
      <c r="H13" s="22">
        <f>H11-H12</f>
        <v>6452.4723568610279</v>
      </c>
      <c r="J13" s="24"/>
      <c r="L13" s="86"/>
      <c r="M13" s="67"/>
    </row>
    <row r="14" spans="1:13" ht="16.5" x14ac:dyDescent="0.25">
      <c r="A14" s="2"/>
      <c r="B14" s="2"/>
      <c r="C14" s="2"/>
      <c r="D14" s="2"/>
      <c r="E14" s="2"/>
      <c r="F14" s="2"/>
      <c r="G14" s="2"/>
      <c r="H14" s="22"/>
      <c r="J14" s="24"/>
      <c r="L14" s="86"/>
      <c r="M14" s="67"/>
    </row>
    <row r="15" spans="1:13" ht="16.5" x14ac:dyDescent="0.25">
      <c r="A15" s="410" t="s">
        <v>192</v>
      </c>
      <c r="B15" s="410"/>
      <c r="C15" s="410"/>
      <c r="D15" s="410"/>
      <c r="E15" s="31"/>
      <c r="F15" s="31"/>
      <c r="G15" s="31"/>
      <c r="H15" s="45">
        <f>H13*0.2811</f>
        <v>1813.789979513635</v>
      </c>
      <c r="J15" s="24"/>
      <c r="L15" s="86"/>
      <c r="M15" s="67"/>
    </row>
    <row r="16" spans="1:13" ht="16.5" x14ac:dyDescent="0.25">
      <c r="A16" s="2"/>
      <c r="B16" s="2"/>
      <c r="C16" s="2"/>
      <c r="D16" s="2"/>
      <c r="E16" s="2"/>
      <c r="F16" s="2"/>
      <c r="G16" s="2"/>
      <c r="H16" s="64"/>
      <c r="I16" s="24"/>
      <c r="J16" s="24"/>
      <c r="L16" s="86"/>
      <c r="M16" s="67"/>
    </row>
    <row r="17" spans="1:13" ht="17.25" thickBot="1" x14ac:dyDescent="0.3">
      <c r="A17" s="395" t="s">
        <v>84</v>
      </c>
      <c r="B17" s="395"/>
      <c r="C17" s="395"/>
      <c r="D17" s="395"/>
      <c r="E17" s="395"/>
      <c r="F17" s="253"/>
      <c r="G17" s="2"/>
      <c r="H17" s="62">
        <f>H15-H13</f>
        <v>-4638.6823773473934</v>
      </c>
      <c r="I17" s="22"/>
      <c r="J17" s="22"/>
      <c r="M17" s="67"/>
    </row>
    <row r="18" spans="1:13" ht="13.5" thickTop="1" x14ac:dyDescent="0.2"/>
    <row r="19" spans="1:13" ht="16.5" x14ac:dyDescent="0.25">
      <c r="A19" s="9" t="s">
        <v>238</v>
      </c>
    </row>
    <row r="20" spans="1:13" ht="16.5" x14ac:dyDescent="0.25">
      <c r="B20" s="333" t="s">
        <v>283</v>
      </c>
      <c r="C20" s="399" t="s">
        <v>289</v>
      </c>
      <c r="D20" s="399"/>
      <c r="E20" s="2" t="s">
        <v>183</v>
      </c>
    </row>
  </sheetData>
  <mergeCells count="10">
    <mergeCell ref="C20:D20"/>
    <mergeCell ref="A12:D12"/>
    <mergeCell ref="A13:D13"/>
    <mergeCell ref="A15:D15"/>
    <mergeCell ref="A17:E17"/>
    <mergeCell ref="A3:I3"/>
    <mergeCell ref="A7:I7"/>
    <mergeCell ref="A6:I6"/>
    <mergeCell ref="A5:I5"/>
    <mergeCell ref="A11:D11"/>
  </mergeCells>
  <phoneticPr fontId="2" type="noConversion"/>
  <pageMargins left="1" right="0.25" top="1.25" bottom="0.25" header="0.5" footer="0.5"/>
  <pageSetup scale="70" orientation="portrait" r:id="rId1"/>
  <headerFooter alignWithMargins="0">
    <oddHeader xml:space="preserve">&amp;R&amp;"Arial,Bold"&amp;14EXHIBIT P-3
SCHEDULE JMC-22
UPDATE-1  </oddHeader>
    <oddFooter xml:space="preserve">&amp;C&amp;K000000
</oddFooter>
  </headerFooter>
  <ignoredErrors>
    <ignoredError sqref="A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>
    <tabColor rgb="FF92D050"/>
    <pageSetUpPr fitToPage="1"/>
  </sheetPr>
  <dimension ref="A3:L22"/>
  <sheetViews>
    <sheetView zoomScaleNormal="100" workbookViewId="0">
      <selection activeCell="E22" sqref="E22"/>
    </sheetView>
  </sheetViews>
  <sheetFormatPr defaultRowHeight="12.75" x14ac:dyDescent="0.2"/>
  <cols>
    <col min="1" max="1" width="7.140625" customWidth="1"/>
    <col min="2" max="2" width="12.42578125" customWidth="1"/>
    <col min="3" max="3" width="14.42578125" customWidth="1"/>
    <col min="4" max="4" width="13.28515625" customWidth="1"/>
    <col min="5" max="5" width="10.5703125" customWidth="1"/>
    <col min="6" max="6" width="8" customWidth="1"/>
    <col min="7" max="7" width="21.7109375" style="40" bestFit="1" customWidth="1"/>
    <col min="8" max="8" width="11.28515625" bestFit="1" customWidth="1"/>
    <col min="9" max="9" width="12.140625" bestFit="1" customWidth="1"/>
    <col min="10" max="10" width="12.5703125" customWidth="1"/>
    <col min="11" max="11" width="13.5703125" bestFit="1" customWidth="1"/>
  </cols>
  <sheetData>
    <row r="3" spans="1:11" ht="16.5" x14ac:dyDescent="0.25">
      <c r="A3" s="413" t="s">
        <v>109</v>
      </c>
      <c r="B3" s="414"/>
      <c r="C3" s="414"/>
      <c r="D3" s="414"/>
      <c r="E3" s="414"/>
      <c r="F3" s="414"/>
      <c r="G3" s="414"/>
      <c r="H3" s="133"/>
      <c r="I3" s="133"/>
      <c r="J3" s="133"/>
      <c r="K3" s="133"/>
    </row>
    <row r="4" spans="1:11" ht="16.5" x14ac:dyDescent="0.25">
      <c r="A4" s="27"/>
      <c r="B4" s="27"/>
      <c r="C4" s="27"/>
      <c r="D4" s="27"/>
      <c r="E4" s="27"/>
      <c r="F4" s="27"/>
      <c r="G4" s="41"/>
      <c r="H4" s="27"/>
    </row>
    <row r="5" spans="1:11" ht="16.5" x14ac:dyDescent="0.25">
      <c r="A5" s="395" t="s">
        <v>142</v>
      </c>
      <c r="B5" s="396"/>
      <c r="C5" s="396"/>
      <c r="D5" s="396"/>
      <c r="E5" s="396"/>
      <c r="F5" s="396"/>
      <c r="G5" s="396"/>
      <c r="H5" s="54"/>
      <c r="I5" s="54"/>
      <c r="J5" s="54"/>
      <c r="K5" s="54"/>
    </row>
    <row r="6" spans="1:11" ht="16.5" x14ac:dyDescent="0.25">
      <c r="A6" s="397" t="s">
        <v>70</v>
      </c>
      <c r="B6" s="397"/>
      <c r="C6" s="397"/>
      <c r="D6" s="397"/>
      <c r="E6" s="397"/>
      <c r="F6" s="397"/>
      <c r="G6" s="397"/>
      <c r="H6" s="49"/>
      <c r="I6" s="49"/>
      <c r="J6" s="49"/>
      <c r="K6" s="49"/>
    </row>
    <row r="7" spans="1:11" ht="16.5" x14ac:dyDescent="0.25">
      <c r="A7" s="398" t="s">
        <v>50</v>
      </c>
      <c r="B7" s="398"/>
      <c r="C7" s="398"/>
      <c r="D7" s="398"/>
      <c r="E7" s="398"/>
      <c r="F7" s="398"/>
      <c r="G7" s="398"/>
      <c r="H7" s="50"/>
      <c r="I7" s="50"/>
      <c r="J7" s="50"/>
      <c r="K7" s="50"/>
    </row>
    <row r="8" spans="1:11" ht="16.5" x14ac:dyDescent="0.25">
      <c r="A8" s="144"/>
      <c r="B8" s="144"/>
      <c r="C8" s="144"/>
      <c r="D8" s="144"/>
      <c r="E8" s="144"/>
      <c r="F8" s="144"/>
      <c r="G8" s="144"/>
      <c r="H8" s="50"/>
      <c r="I8" s="50"/>
      <c r="J8" s="50"/>
      <c r="K8" s="50"/>
    </row>
    <row r="9" spans="1:11" ht="16.5" x14ac:dyDescent="0.25">
      <c r="G9" s="52" t="s">
        <v>77</v>
      </c>
      <c r="K9" s="93"/>
    </row>
    <row r="10" spans="1:11" ht="16.5" x14ac:dyDescent="0.25">
      <c r="G10" s="166" t="s">
        <v>249</v>
      </c>
      <c r="H10" s="12"/>
      <c r="J10" s="12"/>
      <c r="K10" s="127"/>
    </row>
    <row r="11" spans="1:11" ht="14.25" customHeight="1" x14ac:dyDescent="0.2">
      <c r="K11" s="148"/>
    </row>
    <row r="12" spans="1:11" ht="16.5" x14ac:dyDescent="0.25">
      <c r="A12" s="401" t="s">
        <v>102</v>
      </c>
      <c r="B12" s="401"/>
      <c r="C12" s="401"/>
      <c r="D12" s="401"/>
      <c r="G12" s="98">
        <f>G13*1.04</f>
        <v>835.76357279999991</v>
      </c>
      <c r="H12" s="259"/>
      <c r="J12" s="93"/>
      <c r="K12" s="98"/>
    </row>
    <row r="13" spans="1:11" ht="16.5" x14ac:dyDescent="0.25">
      <c r="A13" s="401" t="s">
        <v>101</v>
      </c>
      <c r="B13" s="401"/>
      <c r="C13" s="401"/>
      <c r="D13" s="401"/>
      <c r="E13" s="2"/>
      <c r="F13" s="2"/>
      <c r="G13" s="46">
        <f>'[17]Other Taxes'!$N$10/1000</f>
        <v>803.61881999999991</v>
      </c>
      <c r="H13" s="87"/>
      <c r="I13" s="218"/>
      <c r="J13" s="86"/>
      <c r="K13" s="45"/>
    </row>
    <row r="14" spans="1:11" ht="16.5" x14ac:dyDescent="0.25">
      <c r="A14" s="2"/>
      <c r="B14" s="2"/>
      <c r="C14" s="2"/>
      <c r="D14" s="2"/>
      <c r="E14" s="2"/>
      <c r="F14" s="2"/>
      <c r="G14" s="22"/>
      <c r="K14" s="37"/>
    </row>
    <row r="15" spans="1:11" ht="16.5" x14ac:dyDescent="0.25">
      <c r="A15" s="401" t="s">
        <v>45</v>
      </c>
      <c r="B15" s="401"/>
      <c r="C15" s="401"/>
      <c r="D15" s="401"/>
      <c r="E15" s="2"/>
      <c r="F15" s="2"/>
      <c r="G15" s="22">
        <f>G12-G13</f>
        <v>32.144752799999992</v>
      </c>
      <c r="H15" s="22"/>
      <c r="K15" s="37"/>
    </row>
    <row r="16" spans="1:11" ht="16.5" x14ac:dyDescent="0.25">
      <c r="A16" s="2"/>
      <c r="B16" s="2"/>
      <c r="C16" s="2"/>
      <c r="D16" s="2"/>
      <c r="E16" s="2"/>
      <c r="F16" s="2"/>
      <c r="G16" s="22"/>
      <c r="K16" s="37"/>
    </row>
    <row r="17" spans="1:12" ht="16.5" x14ac:dyDescent="0.25">
      <c r="A17" s="410" t="s">
        <v>192</v>
      </c>
      <c r="B17" s="410"/>
      <c r="C17" s="410"/>
      <c r="D17" s="410"/>
      <c r="E17" s="31"/>
      <c r="F17" s="31"/>
      <c r="G17" s="45">
        <f>G15*0.2811</f>
        <v>9.0358900120799976</v>
      </c>
      <c r="H17" s="45"/>
      <c r="J17" s="86"/>
      <c r="K17" s="45"/>
      <c r="L17" s="93"/>
    </row>
    <row r="18" spans="1:12" ht="16.5" x14ac:dyDescent="0.25">
      <c r="A18" s="2"/>
      <c r="B18" s="2"/>
      <c r="C18" s="2"/>
      <c r="D18" s="2"/>
      <c r="E18" s="2"/>
      <c r="F18" s="2"/>
      <c r="G18" s="64"/>
      <c r="K18" s="37"/>
    </row>
    <row r="19" spans="1:12" ht="17.25" thickBot="1" x14ac:dyDescent="0.3">
      <c r="A19" s="395" t="s">
        <v>84</v>
      </c>
      <c r="B19" s="395"/>
      <c r="C19" s="395"/>
      <c r="D19" s="395"/>
      <c r="E19" s="395"/>
      <c r="F19" s="2"/>
      <c r="G19" s="62">
        <f>G17-G15</f>
        <v>-23.108862787919996</v>
      </c>
      <c r="H19" s="277"/>
      <c r="I19" s="277"/>
      <c r="J19" s="277"/>
      <c r="K19" s="37"/>
    </row>
    <row r="20" spans="1:12" ht="17.25" thickTop="1" x14ac:dyDescent="0.25">
      <c r="A20" s="2"/>
      <c r="B20" s="2"/>
      <c r="C20" s="2"/>
      <c r="D20" s="2"/>
      <c r="E20" s="2"/>
      <c r="F20" s="2"/>
      <c r="G20" s="39"/>
      <c r="K20" s="93"/>
    </row>
    <row r="21" spans="1:12" ht="16.5" x14ac:dyDescent="0.25">
      <c r="A21" s="9" t="s">
        <v>238</v>
      </c>
      <c r="K21" s="93"/>
    </row>
    <row r="22" spans="1:12" ht="16.5" x14ac:dyDescent="0.25">
      <c r="A22" s="228"/>
      <c r="B22" s="333" t="s">
        <v>283</v>
      </c>
      <c r="C22" s="399" t="s">
        <v>290</v>
      </c>
      <c r="D22" s="399"/>
      <c r="E22" s="2" t="s">
        <v>279</v>
      </c>
    </row>
  </sheetData>
  <mergeCells count="10">
    <mergeCell ref="C22:D22"/>
    <mergeCell ref="A3:G3"/>
    <mergeCell ref="A12:D12"/>
    <mergeCell ref="A13:D13"/>
    <mergeCell ref="A17:D17"/>
    <mergeCell ref="A19:E19"/>
    <mergeCell ref="A15:D15"/>
    <mergeCell ref="A7:G7"/>
    <mergeCell ref="A6:G6"/>
    <mergeCell ref="A5:G5"/>
  </mergeCells>
  <phoneticPr fontId="2" type="noConversion"/>
  <pageMargins left="1" right="0.25" top="1.25" bottom="0.25" header="0.5" footer="0.5"/>
  <pageSetup orientation="portrait" r:id="rId1"/>
  <headerFooter alignWithMargins="0">
    <oddHeader xml:space="preserve">&amp;R&amp;"Arial,Bold"&amp;14EXHIBIT P-3
SCHEDULE JMC-23
UPDATE-1  </oddHeader>
    <oddFooter xml:space="preserve">&amp;C&amp;K000000
</oddFooter>
  </headerFooter>
  <ignoredErrors>
    <ignoredError sqref="A7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tabColor rgb="FF92D050"/>
    <pageSetUpPr fitToPage="1"/>
  </sheetPr>
  <dimension ref="A3:K22"/>
  <sheetViews>
    <sheetView zoomScaleNormal="100" workbookViewId="0">
      <selection activeCell="E22" sqref="E22"/>
    </sheetView>
  </sheetViews>
  <sheetFormatPr defaultRowHeight="12.75" x14ac:dyDescent="0.2"/>
  <cols>
    <col min="1" max="1" width="10.42578125" customWidth="1"/>
    <col min="2" max="2" width="14.5703125" customWidth="1"/>
    <col min="3" max="3" width="16.140625" customWidth="1"/>
    <col min="4" max="4" width="15.140625" customWidth="1"/>
    <col min="5" max="5" width="12.140625" customWidth="1"/>
    <col min="6" max="6" width="9.140625" customWidth="1"/>
    <col min="7" max="7" width="21.7109375" bestFit="1" customWidth="1"/>
    <col min="8" max="8" width="10.140625" style="40" customWidth="1"/>
    <col min="9" max="9" width="14.85546875" bestFit="1" customWidth="1"/>
    <col min="10" max="10" width="12.42578125" customWidth="1"/>
    <col min="11" max="11" width="12.140625" bestFit="1" customWidth="1"/>
  </cols>
  <sheetData>
    <row r="3" spans="1:11" ht="16.5" x14ac:dyDescent="0.25">
      <c r="A3" s="403" t="s">
        <v>109</v>
      </c>
      <c r="B3" s="397"/>
      <c r="C3" s="397"/>
      <c r="D3" s="397"/>
      <c r="E3" s="397"/>
      <c r="F3" s="397"/>
      <c r="G3" s="397"/>
      <c r="H3" s="49"/>
      <c r="I3" s="49"/>
      <c r="J3" s="49"/>
      <c r="K3" s="49"/>
    </row>
    <row r="4" spans="1:11" ht="16.5" x14ac:dyDescent="0.25">
      <c r="A4" s="27"/>
      <c r="B4" s="27"/>
      <c r="C4" s="27"/>
      <c r="D4" s="27"/>
      <c r="E4" s="27"/>
      <c r="F4" s="27"/>
      <c r="G4" s="27"/>
      <c r="H4" s="41"/>
      <c r="I4" s="27"/>
    </row>
    <row r="5" spans="1:11" ht="16.5" x14ac:dyDescent="0.25">
      <c r="A5" s="395" t="s">
        <v>194</v>
      </c>
      <c r="B5" s="396"/>
      <c r="C5" s="396"/>
      <c r="D5" s="396"/>
      <c r="E5" s="396"/>
      <c r="F5" s="396"/>
      <c r="G5" s="396"/>
      <c r="H5" s="54"/>
      <c r="I5" s="54"/>
      <c r="J5" s="54"/>
      <c r="K5" s="54"/>
    </row>
    <row r="6" spans="1:11" ht="16.5" x14ac:dyDescent="0.25">
      <c r="A6" s="397" t="s">
        <v>19</v>
      </c>
      <c r="B6" s="397"/>
      <c r="C6" s="397"/>
      <c r="D6" s="397"/>
      <c r="E6" s="397"/>
      <c r="F6" s="397"/>
      <c r="G6" s="397"/>
      <c r="H6" s="49"/>
      <c r="I6" s="49"/>
      <c r="J6" s="49"/>
      <c r="K6" s="49"/>
    </row>
    <row r="7" spans="1:11" ht="16.5" x14ac:dyDescent="0.25">
      <c r="A7" s="396" t="s">
        <v>50</v>
      </c>
      <c r="B7" s="396"/>
      <c r="C7" s="396"/>
      <c r="D7" s="396"/>
      <c r="E7" s="396"/>
      <c r="F7" s="396"/>
      <c r="G7" s="396"/>
      <c r="H7" s="50"/>
      <c r="I7" s="50"/>
      <c r="J7" s="50"/>
      <c r="K7" s="50"/>
    </row>
    <row r="9" spans="1:11" ht="16.5" x14ac:dyDescent="0.25">
      <c r="G9" s="52" t="s">
        <v>77</v>
      </c>
    </row>
    <row r="10" spans="1:11" ht="16.5" x14ac:dyDescent="0.25">
      <c r="G10" s="166" t="s">
        <v>249</v>
      </c>
    </row>
    <row r="11" spans="1:11" ht="16.5" x14ac:dyDescent="0.25">
      <c r="G11" s="127"/>
      <c r="H11" s="12"/>
      <c r="I11" s="127"/>
      <c r="J11" s="30"/>
      <c r="K11" s="127"/>
    </row>
    <row r="12" spans="1:11" ht="16.5" x14ac:dyDescent="0.25">
      <c r="A12" s="401" t="s">
        <v>74</v>
      </c>
      <c r="B12" s="401"/>
      <c r="C12" s="401"/>
      <c r="D12" s="401"/>
      <c r="E12" s="2"/>
      <c r="F12" s="2"/>
      <c r="G12" s="32">
        <f>G13*1.06</f>
        <v>5650.7553632889922</v>
      </c>
      <c r="H12" s="107"/>
      <c r="I12" s="141"/>
      <c r="J12" s="93"/>
      <c r="K12" s="149"/>
    </row>
    <row r="13" spans="1:11" ht="16.5" x14ac:dyDescent="0.25">
      <c r="A13" s="401" t="s">
        <v>75</v>
      </c>
      <c r="B13" s="401"/>
      <c r="C13" s="401"/>
      <c r="D13" s="401"/>
      <c r="E13" s="2"/>
      <c r="F13" s="2"/>
      <c r="G13" s="363">
        <v>5330.9012861216906</v>
      </c>
      <c r="H13" s="87"/>
      <c r="I13" s="108"/>
      <c r="J13" s="88"/>
      <c r="K13" s="108"/>
    </row>
    <row r="14" spans="1:11" ht="16.5" x14ac:dyDescent="0.25">
      <c r="A14" s="2"/>
      <c r="B14" s="2"/>
      <c r="C14" s="2"/>
      <c r="D14" s="2"/>
      <c r="E14" s="2"/>
      <c r="F14" s="2"/>
      <c r="G14" s="70"/>
      <c r="H14" s="107"/>
      <c r="I14" s="142"/>
      <c r="J14" s="93"/>
      <c r="K14" s="142"/>
    </row>
    <row r="15" spans="1:11" ht="16.5" x14ac:dyDescent="0.25">
      <c r="A15" s="401" t="s">
        <v>45</v>
      </c>
      <c r="B15" s="401"/>
      <c r="C15" s="401"/>
      <c r="D15" s="401"/>
      <c r="E15" s="2"/>
      <c r="F15" s="2"/>
      <c r="G15" s="71">
        <f>G12-G13</f>
        <v>319.85407716730151</v>
      </c>
      <c r="H15" s="107"/>
      <c r="I15" s="143"/>
      <c r="J15" s="93"/>
      <c r="K15" s="143"/>
    </row>
    <row r="16" spans="1:11" ht="16.5" x14ac:dyDescent="0.25">
      <c r="A16" s="2"/>
      <c r="B16" s="2"/>
      <c r="C16" s="2"/>
      <c r="D16" s="2"/>
      <c r="E16" s="2"/>
      <c r="F16" s="2"/>
      <c r="G16" s="70"/>
      <c r="H16" s="107"/>
      <c r="I16" s="142"/>
      <c r="J16" s="93"/>
      <c r="K16" s="142"/>
    </row>
    <row r="17" spans="1:11" ht="16.5" x14ac:dyDescent="0.25">
      <c r="A17" s="401" t="s">
        <v>192</v>
      </c>
      <c r="B17" s="401"/>
      <c r="C17" s="401"/>
      <c r="D17" s="401"/>
      <c r="E17" s="31"/>
      <c r="F17" s="31"/>
      <c r="G17" s="288">
        <f>G15*0.2811</f>
        <v>89.910981091728459</v>
      </c>
      <c r="H17" s="87"/>
      <c r="I17" s="108"/>
      <c r="J17" s="88"/>
      <c r="K17" s="108"/>
    </row>
    <row r="18" spans="1:11" ht="16.5" x14ac:dyDescent="0.25">
      <c r="A18" s="2"/>
      <c r="B18" s="9"/>
      <c r="C18" s="2"/>
      <c r="D18" s="2"/>
      <c r="E18" s="2"/>
      <c r="F18" s="2"/>
      <c r="G18" s="70"/>
      <c r="H18" s="107"/>
      <c r="I18" s="142"/>
      <c r="J18" s="93"/>
      <c r="K18" s="142"/>
    </row>
    <row r="19" spans="1:11" ht="17.25" thickBot="1" x14ac:dyDescent="0.3">
      <c r="A19" s="395" t="s">
        <v>84</v>
      </c>
      <c r="B19" s="395"/>
      <c r="C19" s="395"/>
      <c r="D19" s="395"/>
      <c r="E19" s="395"/>
      <c r="F19" s="2"/>
      <c r="G19" s="92">
        <f>G17-G15</f>
        <v>-229.94309607557307</v>
      </c>
      <c r="H19" s="277"/>
      <c r="I19" s="277"/>
      <c r="J19" s="277"/>
      <c r="K19" s="150"/>
    </row>
    <row r="20" spans="1:11" ht="13.5" thickTop="1" x14ac:dyDescent="0.2">
      <c r="G20" s="51"/>
    </row>
    <row r="21" spans="1:11" ht="16.5" x14ac:dyDescent="0.25">
      <c r="A21" s="9" t="s">
        <v>238</v>
      </c>
      <c r="G21" s="51"/>
    </row>
    <row r="22" spans="1:11" ht="16.5" x14ac:dyDescent="0.25">
      <c r="B22" s="333" t="s">
        <v>283</v>
      </c>
      <c r="C22" s="399" t="s">
        <v>291</v>
      </c>
      <c r="D22" s="399"/>
      <c r="E22" s="2" t="s">
        <v>19</v>
      </c>
    </row>
  </sheetData>
  <mergeCells count="10">
    <mergeCell ref="C22:D22"/>
    <mergeCell ref="A13:D13"/>
    <mergeCell ref="A15:D15"/>
    <mergeCell ref="A17:D17"/>
    <mergeCell ref="A19:E19"/>
    <mergeCell ref="A3:G3"/>
    <mergeCell ref="A5:G5"/>
    <mergeCell ref="A6:G6"/>
    <mergeCell ref="A7:G7"/>
    <mergeCell ref="A12:D12"/>
  </mergeCells>
  <phoneticPr fontId="2" type="noConversion"/>
  <pageMargins left="1" right="0.25" top="1.25" bottom="0.25" header="0.5" footer="0.5"/>
  <pageSetup scale="86" orientation="portrait" r:id="rId1"/>
  <headerFooter alignWithMargins="0">
    <oddHeader xml:space="preserve">&amp;R&amp;"Arial,Bold"&amp;14EXHIBIT P-3
SCHEDULE JMC-24
UPDATE-1  </oddHeader>
    <oddFooter xml:space="preserve">&amp;C&amp;K000000
</oddFooter>
  </headerFooter>
  <ignoredErrors>
    <ignoredError sqref="A7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3:K23"/>
  <sheetViews>
    <sheetView topLeftCell="A4" zoomScaleNormal="100" workbookViewId="0">
      <selection activeCell="E22" sqref="E22"/>
    </sheetView>
  </sheetViews>
  <sheetFormatPr defaultRowHeight="12.75" x14ac:dyDescent="0.2"/>
  <cols>
    <col min="4" max="4" width="14.7109375" customWidth="1"/>
    <col min="7" max="7" width="13" customWidth="1"/>
    <col min="8" max="8" width="19.42578125" bestFit="1" customWidth="1"/>
    <col min="9" max="10" width="5.28515625" customWidth="1"/>
    <col min="11" max="11" width="11.7109375" customWidth="1"/>
  </cols>
  <sheetData>
    <row r="3" spans="1:11" ht="16.5" x14ac:dyDescent="0.25">
      <c r="A3" s="397" t="s">
        <v>109</v>
      </c>
      <c r="B3" s="397"/>
      <c r="C3" s="397"/>
      <c r="D3" s="397"/>
      <c r="E3" s="397"/>
      <c r="F3" s="397"/>
      <c r="G3" s="397"/>
      <c r="H3" s="397"/>
      <c r="I3" s="226"/>
      <c r="J3" s="226"/>
      <c r="K3" s="226"/>
    </row>
    <row r="4" spans="1:11" ht="16.5" x14ac:dyDescent="0.25">
      <c r="A4" s="308"/>
      <c r="B4" s="308"/>
      <c r="C4" s="308"/>
      <c r="D4" s="308"/>
      <c r="E4" s="308"/>
      <c r="F4" s="308"/>
      <c r="G4" s="308"/>
      <c r="H4" s="41"/>
      <c r="I4" s="308"/>
    </row>
    <row r="5" spans="1:11" ht="16.5" x14ac:dyDescent="0.25">
      <c r="A5" s="395" t="s">
        <v>212</v>
      </c>
      <c r="B5" s="395"/>
      <c r="C5" s="395"/>
      <c r="D5" s="395"/>
      <c r="E5" s="395"/>
      <c r="F5" s="395"/>
      <c r="G5" s="395"/>
      <c r="H5" s="395"/>
      <c r="I5" s="312"/>
      <c r="J5" s="312"/>
      <c r="K5" s="312"/>
    </row>
    <row r="6" spans="1:11" ht="16.5" x14ac:dyDescent="0.25">
      <c r="A6" s="422" t="s">
        <v>226</v>
      </c>
      <c r="B6" s="423"/>
      <c r="C6" s="423"/>
      <c r="D6" s="423"/>
      <c r="E6" s="423"/>
      <c r="F6" s="423"/>
      <c r="G6" s="423"/>
      <c r="H6" s="423"/>
      <c r="I6" s="226"/>
      <c r="J6" s="226"/>
      <c r="K6" s="226"/>
    </row>
    <row r="7" spans="1:11" ht="16.5" x14ac:dyDescent="0.25">
      <c r="A7" s="395" t="s">
        <v>50</v>
      </c>
      <c r="B7" s="395"/>
      <c r="C7" s="395"/>
      <c r="D7" s="395"/>
      <c r="E7" s="395"/>
      <c r="F7" s="395"/>
      <c r="G7" s="395"/>
      <c r="H7" s="395"/>
      <c r="I7" s="50"/>
      <c r="J7" s="50"/>
      <c r="K7" s="50"/>
    </row>
    <row r="8" spans="1:11" ht="16.5" x14ac:dyDescent="0.25">
      <c r="A8" s="308"/>
      <c r="B8" s="308"/>
      <c r="C8" s="308"/>
      <c r="D8" s="308"/>
      <c r="E8" s="308"/>
      <c r="F8" s="308"/>
      <c r="G8" s="308"/>
      <c r="H8" s="308"/>
      <c r="I8" s="50"/>
      <c r="J8" s="50"/>
      <c r="K8" s="50"/>
    </row>
    <row r="9" spans="1:11" ht="16.5" x14ac:dyDescent="0.25">
      <c r="H9" s="314" t="s">
        <v>77</v>
      </c>
    </row>
    <row r="10" spans="1:11" ht="16.5" x14ac:dyDescent="0.25">
      <c r="H10" s="166" t="s">
        <v>249</v>
      </c>
      <c r="K10" s="93"/>
    </row>
    <row r="11" spans="1:11" x14ac:dyDescent="0.2">
      <c r="K11" s="93"/>
    </row>
    <row r="12" spans="1:11" ht="16.5" x14ac:dyDescent="0.25">
      <c r="A12" s="401" t="s">
        <v>218</v>
      </c>
      <c r="B12" s="401"/>
      <c r="C12" s="401"/>
      <c r="D12" s="401"/>
      <c r="E12" s="401"/>
      <c r="H12" s="45">
        <f>-'[18]JC Schedule'!$N$50/1000</f>
        <v>1297.6122099999995</v>
      </c>
      <c r="K12" s="93"/>
    </row>
    <row r="13" spans="1:11" ht="16.5" x14ac:dyDescent="0.25">
      <c r="A13" s="311"/>
      <c r="B13" s="311"/>
      <c r="C13" s="311"/>
      <c r="D13" s="311"/>
      <c r="E13" s="311"/>
      <c r="H13" s="45"/>
      <c r="K13" s="93"/>
    </row>
    <row r="14" spans="1:11" ht="16.5" x14ac:dyDescent="0.25">
      <c r="A14" s="401" t="s">
        <v>219</v>
      </c>
      <c r="B14" s="401"/>
      <c r="C14" s="401"/>
      <c r="D14" s="401"/>
      <c r="E14" s="401"/>
      <c r="H14" s="46">
        <f>-'[18]JC Schedule'!$N$55/1000</f>
        <v>-141.89679999999996</v>
      </c>
      <c r="K14" s="93"/>
    </row>
    <row r="15" spans="1:11" ht="16.5" x14ac:dyDescent="0.25">
      <c r="A15" s="2"/>
      <c r="B15" s="2"/>
      <c r="C15" s="2"/>
      <c r="D15" s="2"/>
      <c r="E15" s="2"/>
      <c r="F15" s="2"/>
      <c r="G15" s="2"/>
      <c r="H15" s="61"/>
      <c r="K15" s="37"/>
    </row>
    <row r="16" spans="1:11" ht="16.5" x14ac:dyDescent="0.25">
      <c r="A16" s="401" t="s">
        <v>220</v>
      </c>
      <c r="B16" s="401"/>
      <c r="C16" s="401"/>
      <c r="D16" s="401"/>
      <c r="E16" s="401"/>
      <c r="F16" s="2"/>
      <c r="G16" s="2"/>
      <c r="H16" s="61">
        <f>SUM(H12:H14)</f>
        <v>1155.7154099999996</v>
      </c>
      <c r="I16" s="22"/>
      <c r="K16" s="37"/>
    </row>
    <row r="17" spans="1:11" ht="16.5" x14ac:dyDescent="0.25">
      <c r="A17" s="2"/>
      <c r="B17" s="2"/>
      <c r="C17" s="2"/>
      <c r="D17" s="2"/>
      <c r="E17" s="2"/>
      <c r="F17" s="2"/>
      <c r="G17" s="2"/>
      <c r="H17" s="61"/>
      <c r="K17" s="37"/>
    </row>
    <row r="18" spans="1:11" ht="16.5" x14ac:dyDescent="0.25">
      <c r="A18" s="401" t="s">
        <v>192</v>
      </c>
      <c r="B18" s="401"/>
      <c r="C18" s="401"/>
      <c r="D18" s="401"/>
      <c r="E18" s="401"/>
      <c r="F18" s="31"/>
      <c r="G18" s="31"/>
      <c r="H18" s="45">
        <f>H16*0.2811</f>
        <v>324.8716017509999</v>
      </c>
      <c r="I18" s="86"/>
      <c r="J18" s="86"/>
      <c r="K18" s="45"/>
    </row>
    <row r="19" spans="1:11" ht="16.5" x14ac:dyDescent="0.25">
      <c r="A19" s="2"/>
      <c r="B19" s="2"/>
      <c r="C19" s="2"/>
      <c r="D19" s="2"/>
      <c r="E19" s="2"/>
      <c r="F19" s="2"/>
      <c r="G19" s="2"/>
      <c r="H19" s="229"/>
      <c r="K19" s="37"/>
    </row>
    <row r="20" spans="1:11" ht="17.25" thickBot="1" x14ac:dyDescent="0.3">
      <c r="A20" s="395" t="s">
        <v>84</v>
      </c>
      <c r="B20" s="395"/>
      <c r="C20" s="395"/>
      <c r="D20" s="395"/>
      <c r="E20" s="395"/>
      <c r="F20" s="395"/>
      <c r="G20" s="395"/>
      <c r="H20" s="91">
        <f>H18-H16</f>
        <v>-830.84380824899972</v>
      </c>
      <c r="K20" s="37"/>
    </row>
    <row r="21" spans="1:11" ht="13.5" thickTop="1" x14ac:dyDescent="0.2">
      <c r="H21" s="40"/>
      <c r="K21" s="93"/>
    </row>
    <row r="22" spans="1:11" ht="16.5" x14ac:dyDescent="0.25">
      <c r="A22" s="9" t="s">
        <v>238</v>
      </c>
      <c r="K22" s="93"/>
    </row>
    <row r="23" spans="1:11" ht="16.5" x14ac:dyDescent="0.25">
      <c r="B23" s="333" t="s">
        <v>283</v>
      </c>
      <c r="C23" s="399" t="s">
        <v>292</v>
      </c>
      <c r="D23" s="399"/>
      <c r="E23" s="2" t="s">
        <v>226</v>
      </c>
      <c r="H23" s="146"/>
    </row>
  </sheetData>
  <mergeCells count="10">
    <mergeCell ref="C23:D23"/>
    <mergeCell ref="A14:E14"/>
    <mergeCell ref="A16:E16"/>
    <mergeCell ref="A18:E18"/>
    <mergeCell ref="A20:G20"/>
    <mergeCell ref="A3:H3"/>
    <mergeCell ref="A5:H5"/>
    <mergeCell ref="A6:H6"/>
    <mergeCell ref="A7:H7"/>
    <mergeCell ref="A12:E12"/>
  </mergeCells>
  <pageMargins left="1" right="0.25" top="1.25" bottom="0.25" header="0.5" footer="0.5"/>
  <pageSetup orientation="portrait" r:id="rId1"/>
  <headerFooter alignWithMargins="0">
    <oddHeader xml:space="preserve">&amp;R&amp;"Arial,Bold"&amp;14EXHIBIT P-3
SCHEDULE JMC-25
UPDATE-1  </oddHeader>
    <oddFooter xml:space="preserve">&amp;C&amp;K000000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3:M22"/>
  <sheetViews>
    <sheetView zoomScaleNormal="100" workbookViewId="0">
      <selection activeCell="E22" sqref="E22"/>
    </sheetView>
  </sheetViews>
  <sheetFormatPr defaultRowHeight="12.75" x14ac:dyDescent="0.2"/>
  <cols>
    <col min="1" max="1" width="10.42578125" customWidth="1"/>
    <col min="2" max="2" width="14.5703125" customWidth="1"/>
    <col min="3" max="3" width="16.140625" customWidth="1"/>
    <col min="4" max="4" width="9.85546875" customWidth="1"/>
    <col min="5" max="5" width="14.42578125" customWidth="1"/>
    <col min="6" max="6" width="9.140625" customWidth="1"/>
    <col min="7" max="7" width="21.7109375" bestFit="1" customWidth="1"/>
    <col min="8" max="8" width="14" style="40" bestFit="1" customWidth="1"/>
    <col min="9" max="9" width="14.85546875" bestFit="1" customWidth="1"/>
    <col min="10" max="10" width="6.85546875" bestFit="1" customWidth="1"/>
    <col min="11" max="11" width="13.5703125" bestFit="1" customWidth="1"/>
    <col min="12" max="13" width="10.28515625" bestFit="1" customWidth="1"/>
  </cols>
  <sheetData>
    <row r="3" spans="1:13" ht="16.5" x14ac:dyDescent="0.25">
      <c r="A3" s="403" t="s">
        <v>109</v>
      </c>
      <c r="B3" s="397"/>
      <c r="C3" s="397"/>
      <c r="D3" s="397"/>
      <c r="E3" s="397"/>
      <c r="F3" s="397"/>
      <c r="G3" s="397"/>
      <c r="H3" s="226"/>
      <c r="I3" s="226"/>
      <c r="J3" s="226"/>
      <c r="K3" s="226"/>
    </row>
    <row r="4" spans="1:13" ht="16.5" x14ac:dyDescent="0.25">
      <c r="A4" s="291"/>
      <c r="B4" s="291"/>
      <c r="C4" s="291"/>
      <c r="D4" s="291"/>
      <c r="E4" s="291"/>
      <c r="F4" s="291"/>
      <c r="G4" s="291"/>
      <c r="H4" s="41"/>
      <c r="I4" s="291"/>
    </row>
    <row r="5" spans="1:13" ht="16.5" x14ac:dyDescent="0.25">
      <c r="A5" s="395" t="s">
        <v>221</v>
      </c>
      <c r="B5" s="396"/>
      <c r="C5" s="396"/>
      <c r="D5" s="396"/>
      <c r="E5" s="396"/>
      <c r="F5" s="396"/>
      <c r="G5" s="396"/>
      <c r="H5" s="54"/>
      <c r="I5" s="54"/>
      <c r="J5" s="54"/>
      <c r="K5" s="54"/>
    </row>
    <row r="6" spans="1:13" ht="16.5" x14ac:dyDescent="0.25">
      <c r="A6" s="397" t="s">
        <v>227</v>
      </c>
      <c r="B6" s="397"/>
      <c r="C6" s="397"/>
      <c r="D6" s="397"/>
      <c r="E6" s="397"/>
      <c r="F6" s="397"/>
      <c r="G6" s="397"/>
      <c r="H6" s="226"/>
      <c r="I6" s="226"/>
      <c r="J6" s="226"/>
      <c r="K6" s="226"/>
    </row>
    <row r="7" spans="1:13" ht="16.5" x14ac:dyDescent="0.25">
      <c r="A7" s="396" t="s">
        <v>50</v>
      </c>
      <c r="B7" s="396"/>
      <c r="C7" s="396"/>
      <c r="D7" s="396"/>
      <c r="E7" s="396"/>
      <c r="F7" s="396"/>
      <c r="G7" s="396"/>
      <c r="H7" s="50"/>
      <c r="I7" s="50"/>
      <c r="J7" s="50"/>
      <c r="K7" s="50"/>
    </row>
    <row r="8" spans="1:13" x14ac:dyDescent="0.2">
      <c r="J8" s="378"/>
      <c r="K8" s="378"/>
      <c r="L8" s="378"/>
      <c r="M8" s="378"/>
    </row>
    <row r="9" spans="1:13" ht="16.5" x14ac:dyDescent="0.25">
      <c r="G9" s="165" t="s">
        <v>77</v>
      </c>
      <c r="J9" s="93"/>
      <c r="K9" s="93"/>
      <c r="L9" s="93"/>
      <c r="M9" s="93"/>
    </row>
    <row r="10" spans="1:13" ht="16.5" x14ac:dyDescent="0.25">
      <c r="G10" s="166" t="s">
        <v>249</v>
      </c>
      <c r="J10" s="380"/>
      <c r="K10" s="380"/>
      <c r="L10" s="380"/>
      <c r="M10" s="380"/>
    </row>
    <row r="11" spans="1:13" ht="16.5" x14ac:dyDescent="0.25">
      <c r="G11" s="127"/>
      <c r="H11" s="12"/>
      <c r="I11" s="127"/>
      <c r="J11" s="376"/>
      <c r="K11" s="180"/>
      <c r="L11" s="93"/>
      <c r="M11" s="93"/>
    </row>
    <row r="12" spans="1:13" ht="16.5" x14ac:dyDescent="0.25">
      <c r="A12" s="401" t="s">
        <v>208</v>
      </c>
      <c r="B12" s="401"/>
      <c r="C12" s="401"/>
      <c r="D12" s="401"/>
      <c r="E12" s="2"/>
      <c r="F12" s="2"/>
      <c r="G12" s="32">
        <v>12137</v>
      </c>
      <c r="H12" s="107"/>
      <c r="I12" s="141"/>
      <c r="J12" s="376"/>
      <c r="K12" s="67"/>
      <c r="L12" s="379"/>
      <c r="M12" s="379"/>
    </row>
    <row r="13" spans="1:13" ht="16.5" x14ac:dyDescent="0.25">
      <c r="A13" s="401" t="s">
        <v>207</v>
      </c>
      <c r="B13" s="401"/>
      <c r="C13" s="401"/>
      <c r="D13" s="401"/>
      <c r="E13" s="2"/>
      <c r="F13" s="2"/>
      <c r="G13" s="363">
        <v>8373</v>
      </c>
      <c r="H13" s="87"/>
      <c r="I13" s="108"/>
      <c r="J13" s="376"/>
      <c r="K13" s="108"/>
      <c r="L13" s="379"/>
      <c r="M13" s="379"/>
    </row>
    <row r="14" spans="1:13" ht="16.5" x14ac:dyDescent="0.25">
      <c r="A14" s="2"/>
      <c r="B14" s="2"/>
      <c r="C14" s="2"/>
      <c r="D14" s="2"/>
      <c r="E14" s="2"/>
      <c r="F14" s="2"/>
      <c r="G14" s="70"/>
      <c r="H14" s="107"/>
      <c r="I14" s="142"/>
      <c r="J14" s="376"/>
      <c r="K14" s="108"/>
      <c r="L14" s="377"/>
      <c r="M14" s="379"/>
    </row>
    <row r="15" spans="1:13" ht="16.5" x14ac:dyDescent="0.25">
      <c r="A15" s="401" t="s">
        <v>45</v>
      </c>
      <c r="B15" s="401"/>
      <c r="C15" s="401"/>
      <c r="D15" s="401"/>
      <c r="E15" s="2"/>
      <c r="F15" s="2"/>
      <c r="G15" s="71">
        <f>G12-G13</f>
        <v>3764</v>
      </c>
      <c r="H15" s="107"/>
      <c r="I15" s="143"/>
      <c r="J15" s="93"/>
      <c r="K15" s="143"/>
      <c r="L15" s="93"/>
      <c r="M15" s="93"/>
    </row>
    <row r="16" spans="1:13" ht="16.5" x14ac:dyDescent="0.25">
      <c r="A16" s="2"/>
      <c r="B16" s="2"/>
      <c r="C16" s="2"/>
      <c r="D16" s="2"/>
      <c r="E16" s="2"/>
      <c r="F16" s="2"/>
      <c r="G16" s="70"/>
      <c r="H16" s="107"/>
      <c r="I16" s="142"/>
      <c r="J16" s="93"/>
      <c r="K16" s="142"/>
    </row>
    <row r="17" spans="1:11" ht="16.5" x14ac:dyDescent="0.25">
      <c r="A17" s="401" t="s">
        <v>192</v>
      </c>
      <c r="B17" s="401"/>
      <c r="C17" s="401"/>
      <c r="D17" s="401"/>
      <c r="E17" s="31"/>
      <c r="F17" s="31"/>
      <c r="G17" s="288">
        <f>G15*0.2811</f>
        <v>1058.0604000000001</v>
      </c>
      <c r="H17" s="87"/>
      <c r="I17" s="108"/>
      <c r="J17" s="88"/>
      <c r="K17" s="108"/>
    </row>
    <row r="18" spans="1:11" ht="16.5" x14ac:dyDescent="0.25">
      <c r="A18" s="2"/>
      <c r="B18" s="9"/>
      <c r="C18" s="2"/>
      <c r="D18" s="2"/>
      <c r="E18" s="2"/>
      <c r="F18" s="2"/>
      <c r="G18" s="70"/>
      <c r="H18" s="107"/>
      <c r="I18" s="142"/>
      <c r="J18" s="93"/>
      <c r="K18" s="142"/>
    </row>
    <row r="19" spans="1:11" ht="17.25" thickBot="1" x14ac:dyDescent="0.3">
      <c r="A19" s="395" t="s">
        <v>84</v>
      </c>
      <c r="B19" s="395"/>
      <c r="C19" s="395"/>
      <c r="D19" s="395"/>
      <c r="E19" s="395"/>
      <c r="F19" s="2"/>
      <c r="G19" s="92">
        <f>G17-G15</f>
        <v>-2705.9395999999997</v>
      </c>
      <c r="H19" s="277"/>
      <c r="I19" s="277"/>
      <c r="J19" s="277"/>
      <c r="K19" s="150"/>
    </row>
    <row r="20" spans="1:11" ht="13.5" thickTop="1" x14ac:dyDescent="0.2">
      <c r="G20" s="51"/>
    </row>
    <row r="21" spans="1:11" ht="16.5" x14ac:dyDescent="0.25">
      <c r="A21" s="9"/>
      <c r="G21" s="51"/>
    </row>
    <row r="22" spans="1:11" ht="16.5" x14ac:dyDescent="0.25">
      <c r="B22" s="333"/>
      <c r="C22" s="399"/>
      <c r="D22" s="399"/>
      <c r="E22" s="2"/>
    </row>
  </sheetData>
  <mergeCells count="10">
    <mergeCell ref="C22:D22"/>
    <mergeCell ref="A15:D15"/>
    <mergeCell ref="A17:D17"/>
    <mergeCell ref="A19:E19"/>
    <mergeCell ref="A13:D13"/>
    <mergeCell ref="A3:G3"/>
    <mergeCell ref="A5:G5"/>
    <mergeCell ref="A6:G6"/>
    <mergeCell ref="A7:G7"/>
    <mergeCell ref="A12:D12"/>
  </mergeCells>
  <phoneticPr fontId="19" type="noConversion"/>
  <pageMargins left="0.5" right="0.5" top="1.25" bottom="0.25" header="0.5" footer="0.5"/>
  <pageSetup orientation="portrait" r:id="rId1"/>
  <headerFooter alignWithMargins="0">
    <oddHeader xml:space="preserve">&amp;R&amp;"Arial,Bold"&amp;14EXHIBIT P-3
SCHEDULE JMC-26
UPDATE-1  </oddHeader>
    <oddFooter xml:space="preserve">&amp;C&amp;K000000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3:K27"/>
  <sheetViews>
    <sheetView zoomScaleNormal="100" workbookViewId="0">
      <selection activeCell="E22" sqref="E22"/>
    </sheetView>
  </sheetViews>
  <sheetFormatPr defaultRowHeight="12.75" x14ac:dyDescent="0.2"/>
  <cols>
    <col min="1" max="1" width="10.42578125" customWidth="1"/>
    <col min="2" max="2" width="11.28515625" customWidth="1"/>
    <col min="3" max="3" width="14.28515625" customWidth="1"/>
    <col min="4" max="4" width="10.7109375" customWidth="1"/>
    <col min="5" max="5" width="14" customWidth="1"/>
    <col min="6" max="6" width="9.140625" customWidth="1"/>
    <col min="7" max="7" width="21.7109375" bestFit="1" customWidth="1"/>
    <col min="8" max="8" width="10.140625" style="40" customWidth="1"/>
    <col min="9" max="9" width="14.85546875" bestFit="1" customWidth="1"/>
    <col min="10" max="10" width="12.42578125" customWidth="1"/>
    <col min="11" max="11" width="12.140625" bestFit="1" customWidth="1"/>
  </cols>
  <sheetData>
    <row r="3" spans="1:11" ht="16.5" x14ac:dyDescent="0.25">
      <c r="A3" s="403" t="s">
        <v>109</v>
      </c>
      <c r="B3" s="397"/>
      <c r="C3" s="397"/>
      <c r="D3" s="397"/>
      <c r="E3" s="397"/>
      <c r="F3" s="397"/>
      <c r="G3" s="397"/>
      <c r="H3" s="226"/>
      <c r="I3" s="226"/>
      <c r="J3" s="226"/>
      <c r="K3" s="226"/>
    </row>
    <row r="4" spans="1:11" ht="16.5" x14ac:dyDescent="0.25">
      <c r="A4" s="295"/>
      <c r="B4" s="295"/>
      <c r="C4" s="295"/>
      <c r="D4" s="295"/>
      <c r="E4" s="295"/>
      <c r="F4" s="295"/>
      <c r="G4" s="295"/>
      <c r="H4" s="41"/>
      <c r="I4" s="295"/>
    </row>
    <row r="5" spans="1:11" ht="16.5" x14ac:dyDescent="0.25">
      <c r="A5" s="395" t="s">
        <v>211</v>
      </c>
      <c r="B5" s="396"/>
      <c r="C5" s="396"/>
      <c r="D5" s="396"/>
      <c r="E5" s="396"/>
      <c r="F5" s="396"/>
      <c r="G5" s="396"/>
      <c r="H5" s="54"/>
      <c r="I5" s="54"/>
      <c r="J5" s="54"/>
      <c r="K5" s="54"/>
    </row>
    <row r="6" spans="1:11" ht="16.5" x14ac:dyDescent="0.25">
      <c r="A6" s="397" t="s">
        <v>228</v>
      </c>
      <c r="B6" s="397"/>
      <c r="C6" s="397"/>
      <c r="D6" s="397"/>
      <c r="E6" s="397"/>
      <c r="F6" s="397"/>
      <c r="G6" s="397"/>
      <c r="H6" s="226"/>
      <c r="I6" s="226"/>
      <c r="J6" s="226"/>
      <c r="K6" s="226"/>
    </row>
    <row r="7" spans="1:11" ht="16.5" x14ac:dyDescent="0.25">
      <c r="A7" s="396" t="s">
        <v>50</v>
      </c>
      <c r="B7" s="396"/>
      <c r="C7" s="396"/>
      <c r="D7" s="396"/>
      <c r="E7" s="396"/>
      <c r="F7" s="396"/>
      <c r="G7" s="396"/>
      <c r="H7" s="50"/>
      <c r="I7" s="50"/>
      <c r="J7" s="50"/>
      <c r="K7" s="50"/>
    </row>
    <row r="9" spans="1:11" ht="16.5" x14ac:dyDescent="0.25">
      <c r="G9" s="165" t="s">
        <v>77</v>
      </c>
    </row>
    <row r="10" spans="1:11" ht="16.5" x14ac:dyDescent="0.25">
      <c r="G10" s="166" t="s">
        <v>249</v>
      </c>
    </row>
    <row r="11" spans="1:11" ht="16.5" x14ac:dyDescent="0.25">
      <c r="G11" s="127"/>
      <c r="H11" s="12"/>
      <c r="I11" s="127"/>
      <c r="J11" s="30"/>
      <c r="K11" s="127"/>
    </row>
    <row r="12" spans="1:11" ht="16.5" x14ac:dyDescent="0.25">
      <c r="A12" s="401" t="s">
        <v>217</v>
      </c>
      <c r="B12" s="401"/>
      <c r="C12" s="401"/>
      <c r="D12" s="401"/>
      <c r="E12" s="2"/>
      <c r="F12" s="2"/>
      <c r="G12" s="32">
        <f>-'[19]Sep 2020 revised'!$I$117/1000</f>
        <v>-287.1135403527133</v>
      </c>
      <c r="H12" s="365"/>
      <c r="I12" s="141"/>
      <c r="J12" s="93"/>
      <c r="K12" s="149"/>
    </row>
    <row r="13" spans="1:11" ht="16.5" x14ac:dyDescent="0.25">
      <c r="A13" s="315"/>
      <c r="B13" s="315"/>
      <c r="C13" s="315"/>
      <c r="D13" s="315"/>
      <c r="E13" s="2"/>
      <c r="F13" s="2"/>
      <c r="G13" s="32"/>
      <c r="H13" s="107"/>
      <c r="I13" s="141"/>
      <c r="J13" s="93"/>
      <c r="K13" s="149"/>
    </row>
    <row r="14" spans="1:11" ht="16.5" x14ac:dyDescent="0.25">
      <c r="A14" s="315" t="s">
        <v>225</v>
      </c>
      <c r="B14" s="315"/>
      <c r="C14" s="315"/>
      <c r="D14" s="315"/>
      <c r="E14" s="2"/>
      <c r="F14" s="2"/>
      <c r="G14" s="44">
        <f>-'[20]CIP Adjustment'!$G$56/1000</f>
        <v>560.62922648887798</v>
      </c>
      <c r="H14" s="365"/>
      <c r="I14" s="141"/>
      <c r="J14" s="93"/>
      <c r="K14" s="149"/>
    </row>
    <row r="15" spans="1:11" ht="16.5" x14ac:dyDescent="0.25">
      <c r="A15" s="356"/>
      <c r="B15" s="315"/>
      <c r="C15" s="315"/>
      <c r="D15" s="315"/>
      <c r="E15" s="2"/>
      <c r="F15" s="2"/>
      <c r="G15" s="46"/>
      <c r="H15" s="107"/>
      <c r="I15" s="141"/>
      <c r="J15" s="93"/>
      <c r="K15" s="149"/>
    </row>
    <row r="16" spans="1:11" ht="16.5" x14ac:dyDescent="0.25">
      <c r="A16" s="2"/>
      <c r="B16" s="2"/>
      <c r="C16" s="2"/>
      <c r="D16" s="2"/>
      <c r="E16" s="2"/>
      <c r="F16" s="2"/>
      <c r="G16" s="70"/>
      <c r="H16" s="107"/>
      <c r="I16" s="142"/>
      <c r="J16" s="93"/>
      <c r="K16" s="142"/>
    </row>
    <row r="17" spans="1:11" ht="16.5" x14ac:dyDescent="0.25">
      <c r="A17" s="401" t="s">
        <v>45</v>
      </c>
      <c r="B17" s="401"/>
      <c r="C17" s="401"/>
      <c r="D17" s="401"/>
      <c r="E17" s="2"/>
      <c r="F17" s="2"/>
      <c r="G17" s="71">
        <f>SUM(G12:G15)</f>
        <v>273.51568613616467</v>
      </c>
      <c r="H17" s="107"/>
      <c r="I17" s="143"/>
      <c r="J17" s="93"/>
      <c r="K17" s="143"/>
    </row>
    <row r="18" spans="1:11" ht="16.5" x14ac:dyDescent="0.25">
      <c r="A18" s="2"/>
      <c r="B18" s="2"/>
      <c r="C18" s="2"/>
      <c r="D18" s="2"/>
      <c r="E18" s="2"/>
      <c r="F18" s="2"/>
      <c r="G18" s="70"/>
      <c r="H18" s="107"/>
      <c r="I18" s="142"/>
      <c r="J18" s="93"/>
      <c r="K18" s="142"/>
    </row>
    <row r="19" spans="1:11" ht="16.5" x14ac:dyDescent="0.25">
      <c r="A19" s="401" t="s">
        <v>192</v>
      </c>
      <c r="B19" s="401"/>
      <c r="C19" s="401"/>
      <c r="D19" s="401"/>
      <c r="E19" s="31"/>
      <c r="F19" s="31"/>
      <c r="G19" s="288">
        <f>G17*0.2811</f>
        <v>76.885259372875893</v>
      </c>
      <c r="H19" s="87"/>
      <c r="I19" s="108"/>
      <c r="J19" s="88"/>
      <c r="K19" s="108"/>
    </row>
    <row r="20" spans="1:11" ht="16.5" x14ac:dyDescent="0.25">
      <c r="A20" s="2"/>
      <c r="B20" s="9"/>
      <c r="C20" s="2"/>
      <c r="D20" s="2"/>
      <c r="E20" s="2"/>
      <c r="F20" s="2"/>
      <c r="G20" s="70"/>
      <c r="H20" s="107"/>
      <c r="I20" s="142"/>
      <c r="J20" s="93"/>
      <c r="K20" s="142"/>
    </row>
    <row r="21" spans="1:11" ht="17.25" thickBot="1" x14ac:dyDescent="0.3">
      <c r="A21" s="395" t="s">
        <v>84</v>
      </c>
      <c r="B21" s="395"/>
      <c r="C21" s="395"/>
      <c r="D21" s="395"/>
      <c r="E21" s="395"/>
      <c r="F21" s="2"/>
      <c r="G21" s="92">
        <f>G19-G17</f>
        <v>-196.63042676328877</v>
      </c>
      <c r="H21" s="277"/>
      <c r="I21" s="277"/>
      <c r="J21" s="277"/>
      <c r="K21" s="150"/>
    </row>
    <row r="22" spans="1:11" ht="13.5" thickTop="1" x14ac:dyDescent="0.2">
      <c r="G22" s="51"/>
    </row>
    <row r="23" spans="1:11" ht="16.5" x14ac:dyDescent="0.25">
      <c r="A23" s="9" t="s">
        <v>238</v>
      </c>
      <c r="G23" s="51"/>
    </row>
    <row r="24" spans="1:11" ht="16.5" x14ac:dyDescent="0.25">
      <c r="B24" s="333" t="s">
        <v>307</v>
      </c>
      <c r="C24" s="399" t="s">
        <v>293</v>
      </c>
      <c r="D24" s="399"/>
      <c r="E24" s="2" t="s">
        <v>280</v>
      </c>
    </row>
    <row r="25" spans="1:11" ht="16.5" x14ac:dyDescent="0.25">
      <c r="B25" s="333" t="s">
        <v>307</v>
      </c>
      <c r="C25" s="399" t="s">
        <v>294</v>
      </c>
      <c r="D25" s="399"/>
      <c r="E25" s="2" t="s">
        <v>245</v>
      </c>
    </row>
    <row r="26" spans="1:11" ht="16.5" x14ac:dyDescent="0.25">
      <c r="B26" s="333"/>
      <c r="C26" s="399"/>
      <c r="D26" s="399"/>
      <c r="E26" s="2"/>
    </row>
    <row r="27" spans="1:11" ht="16.5" x14ac:dyDescent="0.25">
      <c r="B27" s="333"/>
      <c r="C27" s="2"/>
    </row>
  </sheetData>
  <mergeCells count="11">
    <mergeCell ref="C24:D24"/>
    <mergeCell ref="C25:D25"/>
    <mergeCell ref="C26:D26"/>
    <mergeCell ref="A17:D17"/>
    <mergeCell ref="A19:D19"/>
    <mergeCell ref="A21:E21"/>
    <mergeCell ref="A3:G3"/>
    <mergeCell ref="A5:G5"/>
    <mergeCell ref="A6:G6"/>
    <mergeCell ref="A7:G7"/>
    <mergeCell ref="A12:D12"/>
  </mergeCells>
  <pageMargins left="0.5" right="0.25" top="1.25" bottom="0.25" header="0.5" footer="0.5"/>
  <pageSetup orientation="portrait" r:id="rId1"/>
  <headerFooter alignWithMargins="0">
    <oddHeader xml:space="preserve">&amp;R&amp;"Arial,Bold"&amp;14EXHIBIT P-3
SCHEDULE JMC-27
UPDATE-1  </oddHeader>
    <oddFooter xml:space="preserve">&amp;C&amp;K000000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3:K22"/>
  <sheetViews>
    <sheetView zoomScaleNormal="100" workbookViewId="0">
      <selection activeCell="B32" sqref="B32"/>
    </sheetView>
  </sheetViews>
  <sheetFormatPr defaultRowHeight="12.75" x14ac:dyDescent="0.2"/>
  <cols>
    <col min="1" max="1" width="10.42578125" customWidth="1"/>
    <col min="2" max="2" width="14.5703125" customWidth="1"/>
    <col min="3" max="3" width="14.140625" customWidth="1"/>
    <col min="4" max="4" width="10.85546875" customWidth="1"/>
    <col min="5" max="5" width="12.140625" customWidth="1"/>
    <col min="6" max="6" width="9.140625" customWidth="1"/>
    <col min="7" max="7" width="19.42578125" bestFit="1" customWidth="1"/>
    <col min="8" max="8" width="10.140625" style="40" customWidth="1"/>
    <col min="9" max="9" width="14.85546875" bestFit="1" customWidth="1"/>
    <col min="10" max="10" width="12.42578125" customWidth="1"/>
    <col min="11" max="11" width="12.140625" bestFit="1" customWidth="1"/>
  </cols>
  <sheetData>
    <row r="3" spans="1:11" ht="16.5" x14ac:dyDescent="0.25">
      <c r="A3" s="403" t="s">
        <v>109</v>
      </c>
      <c r="B3" s="397"/>
      <c r="C3" s="397"/>
      <c r="D3" s="397"/>
      <c r="E3" s="397"/>
      <c r="F3" s="397"/>
      <c r="G3" s="397"/>
      <c r="H3" s="226"/>
      <c r="I3" s="226"/>
      <c r="J3" s="226"/>
      <c r="K3" s="226"/>
    </row>
    <row r="4" spans="1:11" ht="16.5" x14ac:dyDescent="0.25">
      <c r="A4" s="335"/>
      <c r="B4" s="335"/>
      <c r="C4" s="335"/>
      <c r="D4" s="335"/>
      <c r="E4" s="335"/>
      <c r="F4" s="335"/>
      <c r="G4" s="335"/>
      <c r="H4" s="41"/>
      <c r="I4" s="335"/>
    </row>
    <row r="5" spans="1:11" ht="16.5" x14ac:dyDescent="0.25">
      <c r="A5" s="395" t="s">
        <v>213</v>
      </c>
      <c r="B5" s="396"/>
      <c r="C5" s="396"/>
      <c r="D5" s="396"/>
      <c r="E5" s="396"/>
      <c r="F5" s="396"/>
      <c r="G5" s="396"/>
      <c r="H5" s="54"/>
      <c r="I5" s="54"/>
      <c r="J5" s="54"/>
      <c r="K5" s="54"/>
    </row>
    <row r="6" spans="1:11" ht="16.5" x14ac:dyDescent="0.25">
      <c r="A6" s="397" t="s">
        <v>246</v>
      </c>
      <c r="B6" s="397"/>
      <c r="C6" s="397"/>
      <c r="D6" s="397"/>
      <c r="E6" s="397"/>
      <c r="F6" s="397"/>
      <c r="G6" s="397"/>
      <c r="H6" s="226"/>
      <c r="I6" s="226"/>
      <c r="J6" s="226"/>
      <c r="K6" s="226"/>
    </row>
    <row r="7" spans="1:11" ht="16.5" x14ac:dyDescent="0.25">
      <c r="A7" s="396" t="s">
        <v>50</v>
      </c>
      <c r="B7" s="396"/>
      <c r="C7" s="396"/>
      <c r="D7" s="396"/>
      <c r="E7" s="396"/>
      <c r="F7" s="396"/>
      <c r="G7" s="396"/>
      <c r="H7" s="50"/>
      <c r="I7" s="50"/>
      <c r="J7" s="50"/>
      <c r="K7" s="50"/>
    </row>
    <row r="9" spans="1:11" ht="16.5" x14ac:dyDescent="0.25">
      <c r="G9" s="165" t="s">
        <v>77</v>
      </c>
    </row>
    <row r="10" spans="1:11" ht="16.5" x14ac:dyDescent="0.25">
      <c r="G10" s="166" t="s">
        <v>249</v>
      </c>
    </row>
    <row r="11" spans="1:11" ht="16.5" x14ac:dyDescent="0.25">
      <c r="G11" s="127"/>
      <c r="H11" s="12"/>
      <c r="I11" s="127"/>
      <c r="J11" s="30"/>
      <c r="K11" s="127"/>
    </row>
    <row r="12" spans="1:11" ht="16.5" x14ac:dyDescent="0.25">
      <c r="A12" s="401" t="s">
        <v>247</v>
      </c>
      <c r="B12" s="401"/>
      <c r="C12" s="401"/>
      <c r="D12" s="401"/>
      <c r="E12" s="2"/>
      <c r="F12" s="2"/>
      <c r="G12" s="32">
        <f>(157208+69806.5)/2/1000</f>
        <v>113.50725</v>
      </c>
      <c r="H12" s="365"/>
      <c r="I12" s="141"/>
      <c r="J12" s="93"/>
      <c r="K12" s="149"/>
    </row>
    <row r="13" spans="1:11" ht="16.5" x14ac:dyDescent="0.25">
      <c r="A13" s="366"/>
      <c r="B13" s="366"/>
      <c r="C13" s="366"/>
      <c r="D13" s="366"/>
      <c r="E13" s="2"/>
      <c r="F13" s="2"/>
      <c r="G13" s="108"/>
      <c r="H13" s="87"/>
      <c r="I13" s="108"/>
      <c r="J13" s="88"/>
      <c r="K13" s="108"/>
    </row>
    <row r="14" spans="1:11" ht="16.5" x14ac:dyDescent="0.25">
      <c r="A14" s="2"/>
      <c r="B14" s="2"/>
      <c r="C14" s="2"/>
      <c r="D14" s="2"/>
      <c r="E14" s="2"/>
      <c r="F14" s="2"/>
      <c r="G14" s="70"/>
      <c r="H14" s="107"/>
      <c r="I14" s="142"/>
      <c r="J14" s="93"/>
      <c r="K14" s="142"/>
    </row>
    <row r="15" spans="1:11" ht="16.5" x14ac:dyDescent="0.25">
      <c r="A15" s="401" t="s">
        <v>235</v>
      </c>
      <c r="B15" s="401"/>
      <c r="C15" s="401"/>
      <c r="D15" s="401"/>
      <c r="E15" s="2"/>
      <c r="F15" s="2"/>
      <c r="G15" s="71">
        <f>G12</f>
        <v>113.50725</v>
      </c>
      <c r="H15" s="107"/>
      <c r="I15" s="143"/>
      <c r="J15" s="93"/>
      <c r="K15" s="143"/>
    </row>
    <row r="16" spans="1:11" ht="16.5" x14ac:dyDescent="0.25">
      <c r="A16" s="2"/>
      <c r="B16" s="2"/>
      <c r="C16" s="2"/>
      <c r="D16" s="2"/>
      <c r="E16" s="2"/>
      <c r="F16" s="2"/>
      <c r="G16" s="70"/>
      <c r="H16" s="107"/>
      <c r="I16" s="142"/>
      <c r="J16" s="93"/>
      <c r="K16" s="142"/>
    </row>
    <row r="17" spans="1:11" ht="16.5" x14ac:dyDescent="0.25">
      <c r="A17" s="401" t="s">
        <v>192</v>
      </c>
      <c r="B17" s="401"/>
      <c r="C17" s="401"/>
      <c r="D17" s="401"/>
      <c r="E17" s="31"/>
      <c r="F17" s="31"/>
      <c r="G17" s="288">
        <f>-G15*0.2811</f>
        <v>-31.906887975</v>
      </c>
      <c r="H17" s="87"/>
      <c r="I17" s="108"/>
      <c r="J17" s="88"/>
      <c r="K17" s="108"/>
    </row>
    <row r="18" spans="1:11" ht="16.5" x14ac:dyDescent="0.25">
      <c r="A18" s="2"/>
      <c r="B18" s="9"/>
      <c r="C18" s="2"/>
      <c r="D18" s="2"/>
      <c r="E18" s="2"/>
      <c r="F18" s="2"/>
      <c r="G18" s="70"/>
      <c r="H18" s="107"/>
      <c r="I18" s="142"/>
      <c r="J18" s="93"/>
      <c r="K18" s="142"/>
    </row>
    <row r="19" spans="1:11" ht="17.25" thickBot="1" x14ac:dyDescent="0.3">
      <c r="A19" s="395" t="s">
        <v>84</v>
      </c>
      <c r="B19" s="395"/>
      <c r="C19" s="395"/>
      <c r="D19" s="395"/>
      <c r="E19" s="395"/>
      <c r="F19" s="2"/>
      <c r="G19" s="92">
        <f>G17+G15</f>
        <v>81.600362024999995</v>
      </c>
      <c r="H19" s="277"/>
      <c r="I19" s="277"/>
      <c r="J19" s="277"/>
      <c r="K19" s="150"/>
    </row>
    <row r="20" spans="1:11" ht="13.5" thickTop="1" x14ac:dyDescent="0.2">
      <c r="G20" s="51"/>
    </row>
    <row r="21" spans="1:11" ht="16.5" x14ac:dyDescent="0.25">
      <c r="A21" s="9"/>
      <c r="G21" s="51"/>
    </row>
    <row r="22" spans="1:11" ht="16.5" x14ac:dyDescent="0.25">
      <c r="B22" s="339"/>
      <c r="C22" s="399"/>
      <c r="D22" s="399"/>
      <c r="E22" s="2"/>
    </row>
  </sheetData>
  <mergeCells count="9">
    <mergeCell ref="C22:D22"/>
    <mergeCell ref="A15:D15"/>
    <mergeCell ref="A17:D17"/>
    <mergeCell ref="A19:E19"/>
    <mergeCell ref="A3:G3"/>
    <mergeCell ref="A5:G5"/>
    <mergeCell ref="A6:G6"/>
    <mergeCell ref="A7:G7"/>
    <mergeCell ref="A12:D12"/>
  </mergeCells>
  <pageMargins left="0.45" right="0.45" top="1" bottom="0.75" header="0.3" footer="0.3"/>
  <pageSetup orientation="portrait" r:id="rId1"/>
  <headerFooter>
    <oddHeader>&amp;R&amp;"Arial,Bold"&amp;14EXHIBIT P-3
SCHEDULE JMC-28
UPDATE-1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3:Q38"/>
  <sheetViews>
    <sheetView topLeftCell="A16" zoomScaleNormal="100" workbookViewId="0">
      <selection activeCell="E22" sqref="E22"/>
    </sheetView>
  </sheetViews>
  <sheetFormatPr defaultRowHeight="16.5" x14ac:dyDescent="0.25"/>
  <cols>
    <col min="1" max="1" width="9.140625" style="2"/>
    <col min="2" max="2" width="12" style="2" customWidth="1"/>
    <col min="3" max="3" width="12.7109375" style="2" bestFit="1" customWidth="1"/>
    <col min="4" max="4" width="8" style="2" customWidth="1"/>
    <col min="5" max="5" width="11.140625" style="2" customWidth="1"/>
    <col min="6" max="6" width="9.28515625" style="2" bestFit="1" customWidth="1"/>
    <col min="7" max="7" width="15.5703125" style="2" bestFit="1" customWidth="1"/>
    <col min="8" max="8" width="13.5703125" style="2" customWidth="1"/>
    <col min="9" max="10" width="9.140625" style="2"/>
    <col min="11" max="11" width="16.85546875" style="2" bestFit="1" customWidth="1"/>
    <col min="12" max="13" width="9.140625" style="2"/>
    <col min="14" max="14" width="11.28515625" style="2" bestFit="1" customWidth="1"/>
    <col min="15" max="16" width="9.140625" style="2"/>
    <col min="17" max="17" width="11.42578125" style="2" bestFit="1" customWidth="1"/>
    <col min="18" max="16384" width="9.140625" style="2"/>
  </cols>
  <sheetData>
    <row r="3" spans="1:17" x14ac:dyDescent="0.25">
      <c r="A3" s="403" t="s">
        <v>109</v>
      </c>
      <c r="B3" s="397"/>
      <c r="C3" s="397"/>
      <c r="D3" s="397"/>
      <c r="E3" s="397"/>
      <c r="F3" s="397"/>
      <c r="G3" s="397"/>
      <c r="H3" s="397"/>
      <c r="I3" s="49"/>
      <c r="J3" s="49"/>
    </row>
    <row r="4" spans="1:17" x14ac:dyDescent="0.25">
      <c r="A4" s="187"/>
      <c r="B4" s="187"/>
      <c r="C4" s="187"/>
      <c r="D4" s="187"/>
      <c r="E4" s="187"/>
      <c r="F4" s="187"/>
      <c r="G4" s="187"/>
      <c r="H4" s="41"/>
      <c r="I4" s="187"/>
    </row>
    <row r="5" spans="1:17" x14ac:dyDescent="0.25">
      <c r="A5" s="395" t="s">
        <v>258</v>
      </c>
      <c r="B5" s="396"/>
      <c r="C5" s="396"/>
      <c r="D5" s="396"/>
      <c r="E5" s="396"/>
      <c r="F5" s="396"/>
      <c r="G5" s="396"/>
      <c r="H5" s="396"/>
      <c r="I5" s="189"/>
      <c r="J5" s="189"/>
    </row>
    <row r="6" spans="1:17" x14ac:dyDescent="0.25">
      <c r="A6" s="397" t="s">
        <v>159</v>
      </c>
      <c r="B6" s="397"/>
      <c r="C6" s="397"/>
      <c r="D6" s="397"/>
      <c r="E6" s="397"/>
      <c r="F6" s="397"/>
      <c r="G6" s="397"/>
      <c r="H6" s="397"/>
      <c r="I6" s="49"/>
      <c r="J6" s="49"/>
    </row>
    <row r="7" spans="1:17" x14ac:dyDescent="0.25">
      <c r="A7" s="396" t="s">
        <v>50</v>
      </c>
      <c r="B7" s="396"/>
      <c r="C7" s="396"/>
      <c r="D7" s="396"/>
      <c r="E7" s="396"/>
      <c r="F7" s="396"/>
      <c r="G7" s="396"/>
      <c r="H7" s="396"/>
      <c r="I7" s="50"/>
      <c r="J7" s="50"/>
    </row>
    <row r="9" spans="1:17" x14ac:dyDescent="0.25">
      <c r="H9" s="166" t="s">
        <v>36</v>
      </c>
    </row>
    <row r="10" spans="1:17" x14ac:dyDescent="0.25">
      <c r="H10" s="53"/>
      <c r="K10" s="63"/>
      <c r="L10" s="63"/>
      <c r="M10" s="63"/>
      <c r="N10" s="63"/>
      <c r="O10" s="63"/>
      <c r="P10" s="63"/>
      <c r="Q10" s="195"/>
    </row>
    <row r="11" spans="1:17" x14ac:dyDescent="0.25">
      <c r="A11" s="426" t="s">
        <v>151</v>
      </c>
      <c r="B11" s="426"/>
      <c r="C11" s="426"/>
      <c r="H11" s="180"/>
      <c r="K11" s="196"/>
      <c r="L11" s="63"/>
      <c r="M11" s="63"/>
      <c r="N11" s="63"/>
      <c r="O11" s="63"/>
      <c r="P11" s="93"/>
      <c r="Q11" s="63"/>
    </row>
    <row r="12" spans="1:17" x14ac:dyDescent="0.25">
      <c r="A12" s="424" t="s">
        <v>269</v>
      </c>
      <c r="B12" s="424"/>
      <c r="C12" s="424"/>
      <c r="D12" s="424"/>
      <c r="E12" s="266"/>
      <c r="F12" s="14"/>
      <c r="H12" s="373">
        <f>[21]Sheet1!$G$9/1000</f>
        <v>9706.4766099999997</v>
      </c>
      <c r="K12" s="197"/>
      <c r="L12" s="63"/>
      <c r="M12" s="63"/>
      <c r="N12" s="63"/>
      <c r="O12" s="63"/>
      <c r="P12" s="93"/>
      <c r="Q12" s="198"/>
    </row>
    <row r="13" spans="1:17" x14ac:dyDescent="0.25">
      <c r="A13" s="424" t="s">
        <v>300</v>
      </c>
      <c r="B13" s="424"/>
      <c r="C13" s="424"/>
      <c r="D13" s="424"/>
      <c r="E13" s="266"/>
      <c r="F13" s="221"/>
      <c r="H13" s="388">
        <v>5800</v>
      </c>
      <c r="K13" s="197"/>
      <c r="L13" s="63"/>
      <c r="M13" s="63"/>
      <c r="N13" s="63"/>
      <c r="O13" s="63"/>
      <c r="P13" s="93"/>
      <c r="Q13" s="45"/>
    </row>
    <row r="14" spans="1:17" x14ac:dyDescent="0.25">
      <c r="A14" s="387" t="s">
        <v>301</v>
      </c>
      <c r="B14" s="387"/>
      <c r="C14" s="387"/>
      <c r="D14" s="387"/>
      <c r="E14" s="266"/>
      <c r="F14" s="221"/>
      <c r="H14" s="391">
        <v>18400</v>
      </c>
      <c r="K14" s="197"/>
      <c r="L14" s="63"/>
      <c r="M14" s="63"/>
      <c r="N14" s="63"/>
      <c r="O14" s="63"/>
      <c r="P14" s="93"/>
      <c r="Q14" s="45"/>
    </row>
    <row r="15" spans="1:17" x14ac:dyDescent="0.25">
      <c r="A15" s="387"/>
      <c r="B15" s="387"/>
      <c r="C15" s="387"/>
      <c r="D15" s="387"/>
      <c r="E15" s="266"/>
      <c r="F15" s="221"/>
      <c r="H15" s="388"/>
      <c r="K15" s="197"/>
      <c r="L15" s="63"/>
      <c r="M15" s="63"/>
      <c r="N15" s="63"/>
      <c r="O15" s="63"/>
      <c r="P15" s="93"/>
      <c r="Q15" s="45"/>
    </row>
    <row r="16" spans="1:17" x14ac:dyDescent="0.25">
      <c r="A16" s="395" t="s">
        <v>40</v>
      </c>
      <c r="B16" s="395"/>
      <c r="C16" s="395"/>
      <c r="H16" s="22">
        <f>SUM(H12:H14)</f>
        <v>33906.476609999998</v>
      </c>
      <c r="K16" s="63"/>
      <c r="L16" s="63"/>
      <c r="M16" s="63"/>
      <c r="N16" s="63"/>
      <c r="O16" s="63"/>
      <c r="P16" s="93"/>
      <c r="Q16" s="85"/>
    </row>
    <row r="17" spans="1:17" x14ac:dyDescent="0.25">
      <c r="A17"/>
      <c r="K17" s="93"/>
      <c r="L17" s="93"/>
      <c r="M17" s="93"/>
      <c r="N17" s="93"/>
      <c r="O17" s="93"/>
      <c r="P17" s="93"/>
      <c r="Q17" s="199"/>
    </row>
    <row r="18" spans="1:17" x14ac:dyDescent="0.25">
      <c r="A18" s="401" t="s">
        <v>152</v>
      </c>
      <c r="B18" s="401"/>
      <c r="C18" s="401"/>
      <c r="D18" s="401"/>
      <c r="E18" s="401"/>
      <c r="H18" s="14">
        <f>'JMC - 3 (WACC)'!K16</f>
        <v>7.0266102100009983E-2</v>
      </c>
      <c r="K18" s="63"/>
      <c r="L18" s="93"/>
      <c r="M18" s="93"/>
      <c r="N18" s="93"/>
      <c r="O18" s="93"/>
      <c r="P18" s="93"/>
      <c r="Q18" s="126"/>
    </row>
    <row r="19" spans="1:17" x14ac:dyDescent="0.25">
      <c r="A19"/>
      <c r="K19" s="93"/>
      <c r="L19" s="93"/>
      <c r="M19" s="93"/>
      <c r="N19" s="93"/>
      <c r="O19" s="93"/>
      <c r="P19" s="93"/>
      <c r="Q19" s="199"/>
    </row>
    <row r="20" spans="1:17" x14ac:dyDescent="0.25">
      <c r="A20" s="406" t="s">
        <v>153</v>
      </c>
      <c r="B20" s="406"/>
      <c r="C20" s="406"/>
      <c r="D20" s="406"/>
      <c r="E20" s="406"/>
      <c r="H20" s="22">
        <f>H16*H18</f>
        <v>2382.4759473298604</v>
      </c>
      <c r="K20" s="200"/>
      <c r="L20" s="201"/>
      <c r="M20" s="201"/>
      <c r="N20" s="93"/>
      <c r="O20" s="93"/>
      <c r="P20" s="93"/>
      <c r="Q20" s="202"/>
    </row>
    <row r="21" spans="1:17" x14ac:dyDescent="0.25">
      <c r="K21" s="63"/>
      <c r="L21" s="63"/>
      <c r="M21" s="63"/>
      <c r="N21" s="63"/>
      <c r="O21" s="63"/>
      <c r="P21" s="93"/>
      <c r="Q21" s="63"/>
    </row>
    <row r="22" spans="1:17" ht="17.25" thickBot="1" x14ac:dyDescent="0.3">
      <c r="A22" s="425" t="s">
        <v>154</v>
      </c>
      <c r="B22" s="425"/>
      <c r="C22" s="425"/>
      <c r="K22" s="203"/>
      <c r="L22" s="63"/>
      <c r="M22" s="63"/>
      <c r="N22" s="63"/>
      <c r="O22" s="63"/>
      <c r="P22" s="93"/>
      <c r="Q22" s="63"/>
    </row>
    <row r="23" spans="1:17" x14ac:dyDescent="0.25">
      <c r="A23" s="424" t="str">
        <f>A12</f>
        <v>SAFE II (Closeout)</v>
      </c>
      <c r="B23" s="424"/>
      <c r="C23" s="424"/>
      <c r="D23" s="424"/>
      <c r="E23" s="424"/>
      <c r="F23" s="225">
        <v>3.1800000000000002E-2</v>
      </c>
      <c r="G23" s="22">
        <f>H12*F23</f>
        <v>308.665956198</v>
      </c>
      <c r="K23" s="63"/>
      <c r="L23" s="35"/>
      <c r="M23" s="63"/>
      <c r="N23" s="63"/>
      <c r="O23" s="63"/>
      <c r="P23" s="56"/>
      <c r="Q23" s="93"/>
    </row>
    <row r="24" spans="1:17" x14ac:dyDescent="0.25">
      <c r="A24" s="424" t="s">
        <v>300</v>
      </c>
      <c r="B24" s="424"/>
      <c r="C24" s="424"/>
      <c r="D24" s="424"/>
      <c r="E24" s="387"/>
      <c r="F24" s="225">
        <v>3.6999999999999998E-2</v>
      </c>
      <c r="G24" s="22">
        <f>H13*F24</f>
        <v>214.6</v>
      </c>
      <c r="K24" s="63"/>
      <c r="L24" s="35"/>
      <c r="M24" s="63"/>
      <c r="N24" s="63"/>
      <c r="O24" s="63"/>
      <c r="P24" s="56"/>
      <c r="Q24" s="93"/>
    </row>
    <row r="25" spans="1:17" x14ac:dyDescent="0.25">
      <c r="A25" s="424" t="s">
        <v>301</v>
      </c>
      <c r="B25" s="424"/>
      <c r="C25" s="424"/>
      <c r="D25" s="424"/>
      <c r="E25" s="424"/>
      <c r="F25" s="225">
        <v>0.03</v>
      </c>
      <c r="G25" s="22">
        <f>H14*F25</f>
        <v>552</v>
      </c>
      <c r="K25" s="63"/>
      <c r="L25" s="35"/>
      <c r="M25" s="63"/>
      <c r="N25" s="63"/>
      <c r="O25" s="63"/>
      <c r="P25" s="56"/>
      <c r="Q25" s="93"/>
    </row>
    <row r="26" spans="1:17" x14ac:dyDescent="0.25">
      <c r="A26" s="424"/>
      <c r="B26" s="424"/>
      <c r="C26" s="424"/>
      <c r="D26" s="424"/>
      <c r="E26" s="424"/>
      <c r="F26" s="225"/>
      <c r="G26" s="25"/>
      <c r="K26" s="63"/>
      <c r="L26" s="35"/>
      <c r="M26" s="63"/>
      <c r="N26" s="63"/>
      <c r="O26" s="63"/>
      <c r="P26" s="56"/>
      <c r="Q26" s="93"/>
    </row>
    <row r="27" spans="1:17" x14ac:dyDescent="0.25">
      <c r="A27" s="395" t="s">
        <v>155</v>
      </c>
      <c r="B27" s="395"/>
      <c r="C27" s="395"/>
      <c r="G27" s="22">
        <f>SUM(G23:G26)</f>
        <v>1075.2659561979999</v>
      </c>
      <c r="K27" s="200"/>
      <c r="L27" s="63"/>
      <c r="M27" s="63"/>
      <c r="N27" s="63"/>
      <c r="O27" s="63"/>
      <c r="P27" s="56"/>
      <c r="Q27" s="93"/>
    </row>
    <row r="28" spans="1:17" x14ac:dyDescent="0.25">
      <c r="A28" s="9"/>
      <c r="K28" s="200"/>
      <c r="L28" s="63"/>
      <c r="M28" s="63"/>
      <c r="N28" s="63"/>
      <c r="O28" s="63"/>
      <c r="P28" s="56"/>
      <c r="Q28" s="93"/>
    </row>
    <row r="29" spans="1:17" x14ac:dyDescent="0.25">
      <c r="A29" s="406"/>
      <c r="B29" s="406"/>
      <c r="C29" s="406"/>
      <c r="G29" s="229"/>
      <c r="K29" s="63"/>
      <c r="L29" s="63"/>
      <c r="M29" s="63"/>
      <c r="N29" s="63"/>
      <c r="O29" s="63"/>
      <c r="P29" s="63"/>
      <c r="Q29" s="93"/>
    </row>
    <row r="30" spans="1:17" x14ac:dyDescent="0.25">
      <c r="A30"/>
      <c r="K30" s="93"/>
      <c r="L30" s="93"/>
      <c r="M30" s="93"/>
      <c r="N30" s="93"/>
      <c r="O30" s="93"/>
      <c r="P30" s="93"/>
      <c r="Q30" s="93"/>
    </row>
    <row r="31" spans="1:17" x14ac:dyDescent="0.25">
      <c r="A31" s="401" t="s">
        <v>156</v>
      </c>
      <c r="B31" s="401"/>
      <c r="C31" s="401"/>
      <c r="D31" s="401"/>
      <c r="G31" s="22">
        <f>G27-G29</f>
        <v>1075.2659561979999</v>
      </c>
      <c r="H31" s="24"/>
      <c r="K31" s="63"/>
      <c r="L31" s="63"/>
      <c r="M31" s="63"/>
      <c r="N31" s="63"/>
      <c r="O31" s="63"/>
      <c r="P31" s="204"/>
      <c r="Q31" s="93"/>
    </row>
    <row r="32" spans="1:17" x14ac:dyDescent="0.25">
      <c r="G32" s="24"/>
      <c r="H32" s="24"/>
      <c r="K32" s="63"/>
      <c r="L32" s="63"/>
      <c r="M32" s="63"/>
      <c r="N32" s="63"/>
      <c r="O32" s="63"/>
      <c r="P32" s="63"/>
      <c r="Q32" s="93"/>
    </row>
    <row r="33" spans="1:17" x14ac:dyDescent="0.25">
      <c r="A33" s="401" t="s">
        <v>157</v>
      </c>
      <c r="B33" s="401"/>
      <c r="C33" s="14">
        <v>0.28110000000000002</v>
      </c>
      <c r="G33" s="46">
        <f>G31*C33</f>
        <v>302.25726028725779</v>
      </c>
      <c r="H33" s="25">
        <f>G31-G33</f>
        <v>773.00869591074206</v>
      </c>
      <c r="K33" s="63"/>
      <c r="L33" s="35"/>
      <c r="M33" s="63"/>
      <c r="N33" s="63"/>
      <c r="O33" s="63"/>
      <c r="P33" s="56"/>
      <c r="Q33" s="56"/>
    </row>
    <row r="34" spans="1:17" x14ac:dyDescent="0.25">
      <c r="A34"/>
      <c r="K34" s="93"/>
      <c r="L34" s="93"/>
      <c r="M34" s="93"/>
      <c r="N34" s="93"/>
      <c r="O34" s="93"/>
      <c r="P34" s="93"/>
      <c r="Q34" s="93"/>
    </row>
    <row r="35" spans="1:17" ht="17.25" thickBot="1" x14ac:dyDescent="0.3">
      <c r="A35" s="395" t="s">
        <v>84</v>
      </c>
      <c r="B35" s="396"/>
      <c r="C35" s="396"/>
      <c r="D35" s="396"/>
      <c r="E35" s="396"/>
      <c r="F35" s="396"/>
      <c r="H35" s="62">
        <f>-(H20+H33)</f>
        <v>-3155.4846432406025</v>
      </c>
      <c r="K35" s="205"/>
      <c r="L35" s="200"/>
      <c r="M35" s="200"/>
      <c r="N35" s="93"/>
      <c r="O35" s="93"/>
      <c r="P35" s="93"/>
      <c r="Q35" s="78"/>
    </row>
    <row r="36" spans="1:17" x14ac:dyDescent="0.25">
      <c r="K36" s="63"/>
      <c r="L36" s="63"/>
      <c r="M36" s="63"/>
      <c r="N36" s="63"/>
      <c r="O36" s="63"/>
      <c r="P36" s="63"/>
      <c r="Q36" s="63"/>
    </row>
    <row r="37" spans="1:17" x14ac:dyDescent="0.25">
      <c r="A37" s="9"/>
    </row>
    <row r="38" spans="1:17" x14ac:dyDescent="0.25">
      <c r="B38" s="333"/>
      <c r="C38" s="399"/>
      <c r="D38" s="399"/>
    </row>
  </sheetData>
  <mergeCells count="21">
    <mergeCell ref="A35:F35"/>
    <mergeCell ref="A33:B33"/>
    <mergeCell ref="C38:D38"/>
    <mergeCell ref="A3:H3"/>
    <mergeCell ref="A5:H5"/>
    <mergeCell ref="A6:H6"/>
    <mergeCell ref="A7:H7"/>
    <mergeCell ref="A12:D12"/>
    <mergeCell ref="A13:D13"/>
    <mergeCell ref="A22:C22"/>
    <mergeCell ref="A11:C11"/>
    <mergeCell ref="A31:D31"/>
    <mergeCell ref="A16:C16"/>
    <mergeCell ref="A18:E18"/>
    <mergeCell ref="A20:E20"/>
    <mergeCell ref="A27:C27"/>
    <mergeCell ref="A23:E23"/>
    <mergeCell ref="A25:E25"/>
    <mergeCell ref="A26:E26"/>
    <mergeCell ref="A29:C29"/>
    <mergeCell ref="A24:D24"/>
  </mergeCells>
  <pageMargins left="0.5" right="0.25" top="1.25" bottom="0.25" header="0.5" footer="0.5"/>
  <pageSetup orientation="portrait" r:id="rId1"/>
  <headerFooter alignWithMargins="0">
    <oddHeader xml:space="preserve">&amp;R&amp;"Arial,Bold"&amp;14EXHIBIT P-3
SCHEDULE JMC-29
UPDATE-1
 </oddHeader>
    <oddFooter xml:space="preserve">&amp;C&amp;K000000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F0"/>
    <pageSetUpPr fitToPage="1"/>
  </sheetPr>
  <dimension ref="A3:O21"/>
  <sheetViews>
    <sheetView zoomScaleNormal="100" workbookViewId="0">
      <selection activeCell="E22" sqref="E22"/>
    </sheetView>
  </sheetViews>
  <sheetFormatPr defaultRowHeight="16.5" x14ac:dyDescent="0.25"/>
  <cols>
    <col min="1" max="1" width="18.42578125" style="2" bestFit="1" customWidth="1"/>
    <col min="2" max="2" width="4.7109375" style="2" customWidth="1"/>
    <col min="3" max="3" width="23.28515625" style="2" customWidth="1"/>
    <col min="4" max="4" width="3.7109375" style="2" customWidth="1"/>
    <col min="5" max="5" width="15.7109375" style="2" customWidth="1"/>
    <col min="6" max="6" width="3.7109375" style="2" customWidth="1"/>
    <col min="7" max="7" width="15.7109375" style="2" customWidth="1"/>
    <col min="8" max="8" width="3.7109375" style="2" customWidth="1"/>
    <col min="9" max="9" width="15.7109375" style="2" customWidth="1"/>
    <col min="10" max="10" width="3.7109375" style="2" customWidth="1"/>
    <col min="11" max="11" width="15.7109375" style="2" customWidth="1"/>
    <col min="12" max="12" width="3.7109375" style="2" customWidth="1"/>
    <col min="13" max="13" width="15.7109375" style="2" customWidth="1"/>
    <col min="14" max="14" width="9.140625" style="2"/>
    <col min="15" max="15" width="22.5703125" style="2" bestFit="1" customWidth="1"/>
    <col min="16" max="16384" width="9.140625" style="2"/>
  </cols>
  <sheetData>
    <row r="3" spans="1:15" x14ac:dyDescent="0.25">
      <c r="A3" s="403" t="s">
        <v>109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</row>
    <row r="5" spans="1:15" x14ac:dyDescent="0.25">
      <c r="A5" s="397" t="s">
        <v>85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</row>
    <row r="6" spans="1:15" x14ac:dyDescent="0.25">
      <c r="A6" s="404"/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</row>
    <row r="9" spans="1:15" x14ac:dyDescent="0.25">
      <c r="C9" s="341"/>
      <c r="D9" s="341"/>
      <c r="E9" s="341"/>
      <c r="F9" s="341"/>
      <c r="G9" s="341" t="s">
        <v>34</v>
      </c>
      <c r="H9" s="341"/>
      <c r="I9" s="341" t="s">
        <v>35</v>
      </c>
    </row>
    <row r="10" spans="1:15" x14ac:dyDescent="0.25">
      <c r="C10" s="33" t="s">
        <v>36</v>
      </c>
      <c r="D10" s="33"/>
      <c r="E10" s="33" t="s">
        <v>25</v>
      </c>
      <c r="F10" s="33"/>
      <c r="G10" s="33" t="s">
        <v>37</v>
      </c>
      <c r="H10" s="33"/>
      <c r="I10" s="33" t="s">
        <v>37</v>
      </c>
      <c r="J10" s="159"/>
      <c r="K10" s="33" t="s">
        <v>129</v>
      </c>
      <c r="L10" s="159"/>
      <c r="M10" s="33" t="s">
        <v>130</v>
      </c>
    </row>
    <row r="12" spans="1:15" x14ac:dyDescent="0.25">
      <c r="A12" s="2" t="s">
        <v>38</v>
      </c>
      <c r="C12" s="61">
        <f>'[4]August 31 2021'!$E$70/1000</f>
        <v>1184614.94</v>
      </c>
      <c r="D12" s="61"/>
      <c r="E12" s="393">
        <f>C12/$C$16</f>
        <v>0.43789804159016332</v>
      </c>
      <c r="F12" s="103"/>
      <c r="G12" s="103">
        <f>'[4]August 31 2021'!$K$70</f>
        <v>3.5721795918650164E-2</v>
      </c>
      <c r="H12" s="14"/>
      <c r="I12" s="14">
        <f>(E12*G12)</f>
        <v>1.5642504474860396E-2</v>
      </c>
      <c r="J12" s="13"/>
      <c r="K12" s="103">
        <f>I12*(1-0.2811)</f>
        <v>1.1245396466977139E-2</v>
      </c>
      <c r="L12" s="301"/>
      <c r="M12" s="103">
        <f>I12</f>
        <v>1.5642504474860396E-2</v>
      </c>
      <c r="O12" s="300"/>
    </row>
    <row r="13" spans="1:15" x14ac:dyDescent="0.25">
      <c r="C13" s="61"/>
      <c r="D13" s="61"/>
      <c r="E13" s="393"/>
      <c r="F13" s="103"/>
      <c r="G13" s="103"/>
      <c r="H13" s="14"/>
      <c r="I13" s="14"/>
      <c r="J13" s="13"/>
      <c r="K13" s="103"/>
      <c r="L13" s="301"/>
      <c r="M13" s="103"/>
    </row>
    <row r="14" spans="1:15" x14ac:dyDescent="0.25">
      <c r="A14" s="2" t="s">
        <v>39</v>
      </c>
      <c r="C14" s="229">
        <v>1520615.1078400002</v>
      </c>
      <c r="D14" s="98"/>
      <c r="E14" s="394">
        <f>C14/C16</f>
        <v>0.56210195840983668</v>
      </c>
      <c r="F14" s="103"/>
      <c r="G14" s="225">
        <v>0.105</v>
      </c>
      <c r="H14" s="14"/>
      <c r="I14" s="211">
        <f>(E14*G14)</f>
        <v>5.9020705633032848E-2</v>
      </c>
      <c r="J14" s="13"/>
      <c r="K14" s="287">
        <f>I14</f>
        <v>5.9020705633032848E-2</v>
      </c>
      <c r="L14" s="301"/>
      <c r="M14" s="287">
        <f>I14/(1-0.2811)</f>
        <v>8.209863073171908E-2</v>
      </c>
      <c r="O14" s="300"/>
    </row>
    <row r="15" spans="1:15" x14ac:dyDescent="0.25">
      <c r="D15" s="22"/>
      <c r="E15" s="14"/>
      <c r="F15" s="14"/>
      <c r="G15" s="14"/>
      <c r="H15" s="14"/>
      <c r="I15" s="14"/>
      <c r="J15" s="13"/>
      <c r="K15" s="13"/>
      <c r="L15" s="13"/>
      <c r="M15" s="13"/>
    </row>
    <row r="16" spans="1:15" ht="17.25" thickBot="1" x14ac:dyDescent="0.3">
      <c r="A16" s="2" t="s">
        <v>40</v>
      </c>
      <c r="C16" s="66">
        <f>SUM(C12:C14)</f>
        <v>2705230.0478400001</v>
      </c>
      <c r="D16" s="22"/>
      <c r="E16" s="14">
        <f>SUM(E12:E14)</f>
        <v>1</v>
      </c>
      <c r="F16" s="14"/>
      <c r="G16" s="14"/>
      <c r="H16" s="14"/>
      <c r="I16" s="212">
        <f>SUM(I12:I14)</f>
        <v>7.4663210107893244E-2</v>
      </c>
      <c r="J16" s="13"/>
      <c r="K16" s="212">
        <f>SUM(K12:K14)</f>
        <v>7.0266102100009983E-2</v>
      </c>
      <c r="L16" s="13"/>
      <c r="M16" s="212">
        <f>SUM(M12:M14)</f>
        <v>9.7741135206579483E-2</v>
      </c>
    </row>
    <row r="17" spans="1:4" ht="17.25" thickTop="1" x14ac:dyDescent="0.25"/>
    <row r="19" spans="1:4" x14ac:dyDescent="0.25">
      <c r="A19" s="9" t="s">
        <v>238</v>
      </c>
    </row>
    <row r="20" spans="1:4" x14ac:dyDescent="0.25">
      <c r="A20" s="342" t="s">
        <v>283</v>
      </c>
      <c r="C20" s="374" t="s">
        <v>298</v>
      </c>
      <c r="D20" s="2" t="s">
        <v>242</v>
      </c>
    </row>
    <row r="21" spans="1:4" x14ac:dyDescent="0.25">
      <c r="A21" s="385" t="s">
        <v>283</v>
      </c>
      <c r="C21" s="384" t="s">
        <v>295</v>
      </c>
      <c r="D21" s="2" t="s">
        <v>273</v>
      </c>
    </row>
  </sheetData>
  <mergeCells count="3">
    <mergeCell ref="A3:M3"/>
    <mergeCell ref="A5:M5"/>
    <mergeCell ref="A6:M6"/>
  </mergeCells>
  <phoneticPr fontId="2" type="noConversion"/>
  <pageMargins left="1" right="0.25" top="1.25" bottom="0.25" header="0.5" footer="0.5"/>
  <pageSetup scale="65" orientation="portrait" r:id="rId1"/>
  <headerFooter alignWithMargins="0">
    <oddHeader xml:space="preserve">&amp;R&amp;"Arial,Bold"&amp;14EXHIBIT P-3
SCHEDULE JMC-3
UPDATE-1  </oddHeader>
    <oddFooter xml:space="preserve">&amp;C&amp;K000000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3:Q47"/>
  <sheetViews>
    <sheetView topLeftCell="A19" zoomScaleNormal="100" workbookViewId="0">
      <selection activeCell="E22" sqref="E22"/>
    </sheetView>
  </sheetViews>
  <sheetFormatPr defaultRowHeight="16.5" x14ac:dyDescent="0.25"/>
  <cols>
    <col min="1" max="1" width="9.7109375" style="2" bestFit="1" customWidth="1"/>
    <col min="2" max="2" width="9.28515625" style="2" customWidth="1"/>
    <col min="3" max="3" width="10.42578125" style="2" customWidth="1"/>
    <col min="4" max="4" width="11" style="2" customWidth="1"/>
    <col min="5" max="5" width="9.28515625" style="2" bestFit="1" customWidth="1"/>
    <col min="6" max="6" width="13.5703125" style="2" bestFit="1" customWidth="1"/>
    <col min="7" max="7" width="15.5703125" style="2" bestFit="1" customWidth="1"/>
    <col min="8" max="8" width="16.42578125" style="2" customWidth="1"/>
    <col min="9" max="10" width="9.140625" style="2"/>
    <col min="11" max="11" width="16.85546875" style="2" bestFit="1" customWidth="1"/>
    <col min="12" max="12" width="27.5703125" style="2" bestFit="1" customWidth="1"/>
    <col min="13" max="14" width="14.85546875" style="2" bestFit="1" customWidth="1"/>
    <col min="15" max="15" width="13" style="2" bestFit="1" customWidth="1"/>
    <col min="16" max="16" width="9.140625" style="2"/>
    <col min="17" max="17" width="11.42578125" style="2" bestFit="1" customWidth="1"/>
    <col min="18" max="16384" width="9.140625" style="2"/>
  </cols>
  <sheetData>
    <row r="3" spans="1:17" x14ac:dyDescent="0.25">
      <c r="A3" s="403" t="s">
        <v>109</v>
      </c>
      <c r="B3" s="397"/>
      <c r="C3" s="397"/>
      <c r="D3" s="397"/>
      <c r="E3" s="397"/>
      <c r="F3" s="397"/>
      <c r="G3" s="397"/>
      <c r="H3" s="397"/>
      <c r="I3" s="226"/>
      <c r="J3" s="226"/>
    </row>
    <row r="4" spans="1:17" x14ac:dyDescent="0.25">
      <c r="A4" s="275"/>
      <c r="B4" s="275"/>
      <c r="C4" s="275"/>
      <c r="D4" s="275"/>
      <c r="E4" s="275"/>
      <c r="F4" s="275"/>
      <c r="G4" s="275"/>
      <c r="H4" s="41"/>
      <c r="I4" s="275"/>
    </row>
    <row r="5" spans="1:17" x14ac:dyDescent="0.25">
      <c r="A5" s="395" t="s">
        <v>259</v>
      </c>
      <c r="B5" s="396"/>
      <c r="C5" s="396"/>
      <c r="D5" s="396"/>
      <c r="E5" s="396"/>
      <c r="F5" s="396"/>
      <c r="G5" s="396"/>
      <c r="H5" s="396"/>
      <c r="I5" s="276"/>
      <c r="J5" s="276"/>
    </row>
    <row r="6" spans="1:17" x14ac:dyDescent="0.25">
      <c r="A6" s="397" t="s">
        <v>282</v>
      </c>
      <c r="B6" s="397"/>
      <c r="C6" s="397"/>
      <c r="D6" s="397"/>
      <c r="E6" s="397"/>
      <c r="F6" s="397"/>
      <c r="G6" s="397"/>
      <c r="H6" s="397"/>
      <c r="I6" s="226"/>
      <c r="J6" s="226"/>
    </row>
    <row r="7" spans="1:17" x14ac:dyDescent="0.25">
      <c r="A7" s="427" t="s">
        <v>50</v>
      </c>
      <c r="B7" s="396"/>
      <c r="C7" s="396"/>
      <c r="D7" s="396"/>
      <c r="E7" s="396"/>
      <c r="F7" s="396"/>
      <c r="G7" s="396"/>
      <c r="H7" s="396"/>
      <c r="I7" s="50"/>
      <c r="J7" s="50"/>
    </row>
    <row r="8" spans="1:17" x14ac:dyDescent="0.25">
      <c r="K8" s="63"/>
    </row>
    <row r="9" spans="1:17" x14ac:dyDescent="0.25">
      <c r="H9" s="166" t="s">
        <v>36</v>
      </c>
      <c r="K9" s="63"/>
    </row>
    <row r="10" spans="1:17" x14ac:dyDescent="0.25">
      <c r="H10" s="53"/>
      <c r="K10" s="63"/>
      <c r="L10" s="63"/>
      <c r="M10" s="63"/>
      <c r="N10" s="63"/>
      <c r="O10" s="63"/>
      <c r="P10" s="63"/>
      <c r="Q10" s="195"/>
    </row>
    <row r="11" spans="1:17" x14ac:dyDescent="0.25">
      <c r="A11" s="426" t="s">
        <v>151</v>
      </c>
      <c r="B11" s="426"/>
      <c r="C11" s="426"/>
      <c r="H11" s="180"/>
      <c r="K11" s="196"/>
      <c r="L11" s="63"/>
      <c r="M11" s="63"/>
      <c r="N11" s="63"/>
      <c r="O11" s="63"/>
      <c r="P11" s="93"/>
      <c r="Q11" s="63"/>
    </row>
    <row r="12" spans="1:17" x14ac:dyDescent="0.25">
      <c r="A12" s="424" t="s">
        <v>190</v>
      </c>
      <c r="B12" s="424"/>
      <c r="C12" s="424"/>
      <c r="D12" s="424"/>
      <c r="E12" s="266"/>
      <c r="F12" s="14"/>
      <c r="H12" s="373">
        <v>15760</v>
      </c>
      <c r="K12" s="197"/>
      <c r="L12" s="63"/>
      <c r="M12" s="63"/>
      <c r="N12" s="63"/>
      <c r="O12" s="63"/>
      <c r="P12" s="93"/>
      <c r="Q12" s="198"/>
    </row>
    <row r="13" spans="1:17" ht="19.5" x14ac:dyDescent="0.25">
      <c r="A13" s="424" t="s">
        <v>229</v>
      </c>
      <c r="B13" s="424"/>
      <c r="C13" s="424"/>
      <c r="D13" s="424"/>
      <c r="E13" s="266"/>
      <c r="F13" s="221"/>
      <c r="H13" s="184">
        <f>H47</f>
        <v>-76.198339200000021</v>
      </c>
      <c r="K13" s="278"/>
      <c r="L13" s="63"/>
      <c r="M13" s="63"/>
      <c r="N13" s="63"/>
      <c r="O13" s="63"/>
      <c r="P13" s="93"/>
      <c r="Q13" s="45"/>
    </row>
    <row r="14" spans="1:17" x14ac:dyDescent="0.25">
      <c r="A14" s="395" t="s">
        <v>40</v>
      </c>
      <c r="B14" s="395"/>
      <c r="C14" s="395"/>
      <c r="H14" s="22">
        <f>SUM(H12:H13)</f>
        <v>15683.8016608</v>
      </c>
      <c r="K14" s="279"/>
      <c r="L14" s="63"/>
      <c r="M14" s="63"/>
      <c r="N14" s="63"/>
      <c r="O14" s="63"/>
      <c r="P14" s="93"/>
      <c r="Q14" s="85"/>
    </row>
    <row r="15" spans="1:17" x14ac:dyDescent="0.25">
      <c r="A15"/>
      <c r="K15" s="280"/>
      <c r="L15" s="63"/>
      <c r="M15" s="63"/>
      <c r="N15" s="93"/>
      <c r="O15" s="93"/>
      <c r="P15" s="93"/>
      <c r="Q15" s="199"/>
    </row>
    <row r="16" spans="1:17" x14ac:dyDescent="0.25">
      <c r="A16" s="401" t="s">
        <v>152</v>
      </c>
      <c r="B16" s="401"/>
      <c r="C16" s="401"/>
      <c r="D16" s="401"/>
      <c r="E16" s="401"/>
      <c r="H16" s="14">
        <f>'JMC - 3 (WACC)'!K16</f>
        <v>7.0266102100009983E-2</v>
      </c>
      <c r="K16" s="279"/>
      <c r="L16" s="63"/>
      <c r="M16" s="63"/>
      <c r="N16" s="93"/>
      <c r="O16" s="93"/>
      <c r="P16" s="93"/>
      <c r="Q16" s="126"/>
    </row>
    <row r="17" spans="1:17" x14ac:dyDescent="0.25">
      <c r="A17"/>
      <c r="K17" s="279"/>
      <c r="L17" s="63"/>
      <c r="M17" s="63"/>
      <c r="N17" s="93"/>
      <c r="O17" s="93"/>
      <c r="P17" s="93"/>
      <c r="Q17" s="199"/>
    </row>
    <row r="18" spans="1:17" x14ac:dyDescent="0.25">
      <c r="A18" s="406" t="s">
        <v>153</v>
      </c>
      <c r="B18" s="406"/>
      <c r="C18" s="406"/>
      <c r="D18" s="406"/>
      <c r="E18" s="406"/>
      <c r="H18" s="22">
        <f>H14*H16</f>
        <v>1102.039608814079</v>
      </c>
      <c r="K18" s="200"/>
      <c r="L18" s="201"/>
      <c r="M18" s="201"/>
      <c r="N18" s="93"/>
      <c r="O18" s="93"/>
      <c r="P18" s="93"/>
      <c r="Q18" s="202"/>
    </row>
    <row r="19" spans="1:17" x14ac:dyDescent="0.25">
      <c r="K19" s="63"/>
      <c r="L19" s="63"/>
      <c r="M19" s="63"/>
      <c r="N19" s="63"/>
      <c r="O19" s="63"/>
      <c r="P19" s="93"/>
      <c r="Q19" s="63"/>
    </row>
    <row r="20" spans="1:17" ht="17.25" thickBot="1" x14ac:dyDescent="0.3">
      <c r="A20" s="425" t="s">
        <v>154</v>
      </c>
      <c r="B20" s="425"/>
      <c r="C20" s="425"/>
      <c r="K20" s="203"/>
      <c r="L20" s="63"/>
      <c r="M20" s="63"/>
      <c r="N20" s="63"/>
      <c r="O20" s="63"/>
      <c r="P20" s="93"/>
      <c r="Q20" s="63"/>
    </row>
    <row r="21" spans="1:17" x14ac:dyDescent="0.25">
      <c r="A21" s="424" t="str">
        <f>A12</f>
        <v>Southern Reliability Link</v>
      </c>
      <c r="B21" s="424"/>
      <c r="C21" s="424"/>
      <c r="D21" s="424"/>
      <c r="E21" s="424"/>
      <c r="F21" s="225">
        <v>2.8799999999999999E-2</v>
      </c>
      <c r="G21" s="64">
        <f>H12*F21</f>
        <v>453.88799999999998</v>
      </c>
      <c r="K21" s="63"/>
      <c r="L21" s="35"/>
      <c r="M21" s="63"/>
      <c r="N21" s="63"/>
      <c r="O21" s="63"/>
      <c r="P21" s="56"/>
      <c r="Q21" s="93"/>
    </row>
    <row r="22" spans="1:17" x14ac:dyDescent="0.25">
      <c r="A22" s="395" t="s">
        <v>155</v>
      </c>
      <c r="B22" s="395"/>
      <c r="C22" s="395"/>
      <c r="G22" s="22">
        <f>SUM(G21:G21)</f>
        <v>453.88799999999998</v>
      </c>
      <c r="K22" s="200"/>
      <c r="L22" s="63"/>
      <c r="M22" s="63"/>
      <c r="N22" s="63"/>
      <c r="O22" s="63"/>
      <c r="P22" s="56"/>
      <c r="Q22" s="93"/>
    </row>
    <row r="23" spans="1:17" x14ac:dyDescent="0.25">
      <c r="A23" s="9"/>
      <c r="K23" s="200"/>
      <c r="L23" s="63"/>
      <c r="M23" s="63"/>
      <c r="N23" s="63"/>
      <c r="O23" s="63"/>
      <c r="P23" s="56"/>
      <c r="Q23" s="93"/>
    </row>
    <row r="24" spans="1:17" x14ac:dyDescent="0.25">
      <c r="A24"/>
      <c r="K24" s="93"/>
      <c r="L24" s="93"/>
      <c r="M24" s="93"/>
      <c r="N24" s="93"/>
      <c r="O24" s="93"/>
      <c r="P24" s="93"/>
      <c r="Q24" s="93"/>
    </row>
    <row r="25" spans="1:17" x14ac:dyDescent="0.25">
      <c r="A25" s="401" t="s">
        <v>156</v>
      </c>
      <c r="B25" s="401"/>
      <c r="C25" s="401"/>
      <c r="D25" s="401"/>
      <c r="G25" s="22">
        <f>G22</f>
        <v>453.88799999999998</v>
      </c>
      <c r="H25" s="24"/>
      <c r="K25" s="63"/>
      <c r="L25" s="63"/>
      <c r="M25" s="63"/>
      <c r="N25" s="63"/>
      <c r="O25" s="63"/>
      <c r="P25" s="204"/>
      <c r="Q25" s="93"/>
    </row>
    <row r="26" spans="1:17" x14ac:dyDescent="0.25">
      <c r="G26" s="24"/>
      <c r="H26" s="24"/>
      <c r="K26" s="63"/>
      <c r="L26" s="63"/>
      <c r="M26" s="63"/>
      <c r="N26" s="63"/>
      <c r="O26" s="63"/>
      <c r="P26" s="63"/>
      <c r="Q26" s="93"/>
    </row>
    <row r="27" spans="1:17" x14ac:dyDescent="0.25">
      <c r="A27" s="401" t="s">
        <v>157</v>
      </c>
      <c r="B27" s="401"/>
      <c r="C27" s="14">
        <v>0.28110000000000002</v>
      </c>
      <c r="G27" s="25">
        <f>G25*C27</f>
        <v>127.5879168</v>
      </c>
      <c r="H27" s="25">
        <f>G25-G27</f>
        <v>326.30008319999996</v>
      </c>
      <c r="K27" s="63"/>
      <c r="L27" s="35"/>
      <c r="M27" s="63"/>
      <c r="N27" s="63"/>
      <c r="O27" s="63"/>
      <c r="P27" s="56"/>
      <c r="Q27" s="56"/>
    </row>
    <row r="28" spans="1:17" x14ac:dyDescent="0.25">
      <c r="A28"/>
      <c r="K28" s="93"/>
      <c r="L28" s="93"/>
      <c r="M28" s="93"/>
      <c r="N28" s="93"/>
      <c r="O28" s="93"/>
      <c r="P28" s="93"/>
      <c r="Q28" s="93"/>
    </row>
    <row r="29" spans="1:17" ht="17.25" thickBot="1" x14ac:dyDescent="0.3">
      <c r="A29" s="395" t="s">
        <v>158</v>
      </c>
      <c r="B29" s="396"/>
      <c r="C29" s="396"/>
      <c r="D29" s="396"/>
      <c r="E29" s="396"/>
      <c r="F29" s="396"/>
      <c r="H29" s="62">
        <f>(H18+H27)</f>
        <v>1428.339692014079</v>
      </c>
      <c r="K29" s="205"/>
      <c r="L29" s="200"/>
      <c r="M29" s="200"/>
      <c r="N29" s="93"/>
      <c r="O29" s="93"/>
      <c r="P29" s="93"/>
      <c r="Q29" s="78"/>
    </row>
    <row r="30" spans="1:17" ht="17.25" thickTop="1" x14ac:dyDescent="0.25">
      <c r="K30" s="63"/>
      <c r="L30" s="63"/>
      <c r="M30" s="63"/>
      <c r="N30" s="63"/>
      <c r="O30" s="63"/>
      <c r="P30" s="63"/>
      <c r="Q30" s="63"/>
    </row>
    <row r="31" spans="1:17" x14ac:dyDescent="0.25">
      <c r="B31" s="406" t="s">
        <v>3</v>
      </c>
      <c r="C31" s="406"/>
      <c r="D31" s="406"/>
      <c r="E31" s="406"/>
      <c r="F31" s="406"/>
      <c r="H31" s="159">
        <f>'JMC - 1 (Rev. Req)'!E20</f>
        <v>1.4080999999999999</v>
      </c>
    </row>
    <row r="33" spans="1:10" ht="17.25" thickBot="1" x14ac:dyDescent="0.3">
      <c r="B33" s="406" t="s">
        <v>187</v>
      </c>
      <c r="C33" s="406"/>
      <c r="D33" s="406"/>
      <c r="E33" s="406"/>
      <c r="F33" s="406"/>
      <c r="H33" s="274">
        <f>H29*H31</f>
        <v>2011.2451203250246</v>
      </c>
      <c r="J33" s="322"/>
    </row>
    <row r="34" spans="1:10" ht="17.25" thickTop="1" x14ac:dyDescent="0.25"/>
    <row r="35" spans="1:10" x14ac:dyDescent="0.25">
      <c r="A35" s="24">
        <v>-1</v>
      </c>
      <c r="B35" s="2" t="s">
        <v>230</v>
      </c>
    </row>
    <row r="36" spans="1:10" x14ac:dyDescent="0.25">
      <c r="F36" s="358" t="s">
        <v>260</v>
      </c>
      <c r="G36" s="358" t="s">
        <v>261</v>
      </c>
      <c r="H36" s="358" t="s">
        <v>40</v>
      </c>
    </row>
    <row r="37" spans="1:10" x14ac:dyDescent="0.25">
      <c r="B37" s="2" t="s">
        <v>262</v>
      </c>
      <c r="F37" s="24">
        <f>H12*0.92</f>
        <v>14499.2</v>
      </c>
      <c r="G37" s="24">
        <f>F37</f>
        <v>14499.2</v>
      </c>
    </row>
    <row r="38" spans="1:10" x14ac:dyDescent="0.25">
      <c r="B38" s="2" t="s">
        <v>263</v>
      </c>
      <c r="F38" s="211">
        <v>0.05</v>
      </c>
      <c r="G38" s="211">
        <f>F38</f>
        <v>0.05</v>
      </c>
    </row>
    <row r="39" spans="1:10" x14ac:dyDescent="0.25">
      <c r="B39" s="2" t="s">
        <v>264</v>
      </c>
      <c r="F39" s="359">
        <f>F37*F38</f>
        <v>724.96</v>
      </c>
      <c r="G39" s="359">
        <f>G37*G38</f>
        <v>724.96</v>
      </c>
    </row>
    <row r="41" spans="1:10" x14ac:dyDescent="0.25">
      <c r="B41" s="2" t="s">
        <v>265</v>
      </c>
      <c r="F41" s="24">
        <f>H12</f>
        <v>15760</v>
      </c>
      <c r="G41" s="24">
        <f>F41</f>
        <v>15760</v>
      </c>
    </row>
    <row r="42" spans="1:10" x14ac:dyDescent="0.25">
      <c r="B42" s="2" t="s">
        <v>266</v>
      </c>
      <c r="F42" s="211">
        <f>F21</f>
        <v>2.8799999999999999E-2</v>
      </c>
      <c r="G42" s="211">
        <f>F42</f>
        <v>2.8799999999999999E-2</v>
      </c>
    </row>
    <row r="43" spans="1:10" x14ac:dyDescent="0.25">
      <c r="B43" s="2" t="s">
        <v>267</v>
      </c>
      <c r="F43" s="359">
        <f>F41*F42</f>
        <v>453.88799999999998</v>
      </c>
      <c r="G43" s="359">
        <f>G41*G42</f>
        <v>453.88799999999998</v>
      </c>
    </row>
    <row r="45" spans="1:10" x14ac:dyDescent="0.25">
      <c r="B45" s="2" t="s">
        <v>150</v>
      </c>
      <c r="F45" s="359">
        <f>F43-F39</f>
        <v>-271.07200000000006</v>
      </c>
      <c r="G45" s="359">
        <f>G43-G39</f>
        <v>-271.07200000000006</v>
      </c>
    </row>
    <row r="46" spans="1:10" ht="17.25" thickBot="1" x14ac:dyDescent="0.3">
      <c r="B46" s="2" t="s">
        <v>268</v>
      </c>
      <c r="F46" s="211">
        <v>0.19109999999999999</v>
      </c>
      <c r="G46" s="211">
        <v>0.09</v>
      </c>
    </row>
    <row r="47" spans="1:10" ht="17.25" thickBot="1" x14ac:dyDescent="0.3">
      <c r="F47" s="359">
        <f>F45*F46</f>
        <v>-51.80185920000001</v>
      </c>
      <c r="G47" s="359">
        <f>G45*G46</f>
        <v>-24.396480000000004</v>
      </c>
      <c r="H47" s="360">
        <f>SUM(F47:G47)</f>
        <v>-76.198339200000021</v>
      </c>
    </row>
  </sheetData>
  <mergeCells count="18">
    <mergeCell ref="A3:H3"/>
    <mergeCell ref="A5:H5"/>
    <mergeCell ref="A6:H6"/>
    <mergeCell ref="A7:H7"/>
    <mergeCell ref="A11:C11"/>
    <mergeCell ref="B31:F31"/>
    <mergeCell ref="B33:F33"/>
    <mergeCell ref="A12:D12"/>
    <mergeCell ref="A22:C22"/>
    <mergeCell ref="A16:E16"/>
    <mergeCell ref="A18:E18"/>
    <mergeCell ref="A20:C20"/>
    <mergeCell ref="A21:E21"/>
    <mergeCell ref="A13:D13"/>
    <mergeCell ref="A14:C14"/>
    <mergeCell ref="A25:D25"/>
    <mergeCell ref="A27:B27"/>
    <mergeCell ref="A29:F29"/>
  </mergeCells>
  <pageMargins left="0.5" right="0.25" top="1" bottom="0.25" header="0.5" footer="0.5"/>
  <pageSetup scale="92" orientation="portrait" r:id="rId1"/>
  <headerFooter alignWithMargins="0">
    <oddHeader xml:space="preserve">&amp;R&amp;"Arial,Bold"&amp;14EXHIBIT P-3
SCHEDULE - JMC-30
UPDATE-1 </oddHeader>
    <oddFooter xml:space="preserve">&amp;C&amp;K000000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F0"/>
    <pageSetUpPr fitToPage="1"/>
  </sheetPr>
  <dimension ref="A1:H40"/>
  <sheetViews>
    <sheetView topLeftCell="A4" zoomScaleNormal="100" workbookViewId="0">
      <selection activeCell="E22" sqref="E22"/>
    </sheetView>
  </sheetViews>
  <sheetFormatPr defaultRowHeight="12.75" x14ac:dyDescent="0.2"/>
  <cols>
    <col min="1" max="5" width="12.7109375" customWidth="1"/>
    <col min="6" max="6" width="18.28515625" customWidth="1"/>
    <col min="7" max="7" width="5.85546875" customWidth="1"/>
    <col min="8" max="8" width="11.42578125" bestFit="1" customWidth="1"/>
  </cols>
  <sheetData>
    <row r="1" spans="1:8" ht="16.5" customHeight="1" x14ac:dyDescent="0.2"/>
    <row r="2" spans="1:8" ht="16.5" customHeight="1" x14ac:dyDescent="0.2"/>
    <row r="3" spans="1:8" s="2" customFormat="1" ht="16.5" customHeight="1" x14ac:dyDescent="0.25">
      <c r="A3" s="403" t="s">
        <v>109</v>
      </c>
      <c r="B3" s="403"/>
      <c r="C3" s="403"/>
      <c r="D3" s="403"/>
      <c r="E3" s="403"/>
      <c r="F3" s="403"/>
      <c r="G3" s="49"/>
    </row>
    <row r="4" spans="1:8" s="2" customFormat="1" ht="16.5" customHeight="1" x14ac:dyDescent="0.25"/>
    <row r="5" spans="1:8" s="2" customFormat="1" ht="16.5" customHeight="1" x14ac:dyDescent="0.25">
      <c r="A5" s="397" t="s">
        <v>41</v>
      </c>
      <c r="B5" s="397"/>
      <c r="C5" s="397"/>
      <c r="D5" s="397"/>
      <c r="E5" s="397"/>
      <c r="F5" s="397"/>
      <c r="G5" s="49"/>
    </row>
    <row r="6" spans="1:8" s="2" customFormat="1" ht="16.5" customHeight="1" x14ac:dyDescent="0.25">
      <c r="A6" s="50"/>
      <c r="B6" s="50"/>
      <c r="C6" s="50"/>
      <c r="D6" s="50"/>
      <c r="E6" s="50"/>
      <c r="F6" s="50"/>
      <c r="G6" s="1"/>
    </row>
    <row r="7" spans="1:8" ht="16.5" customHeight="1" x14ac:dyDescent="0.25">
      <c r="A7" s="48"/>
      <c r="B7" s="116"/>
      <c r="C7" s="116"/>
      <c r="D7" s="116"/>
      <c r="E7" s="48"/>
      <c r="F7" s="48"/>
      <c r="G7" s="48"/>
    </row>
    <row r="8" spans="1:8" ht="16.5" customHeight="1" x14ac:dyDescent="0.25">
      <c r="A8" s="16"/>
      <c r="B8" s="16"/>
      <c r="C8" s="16"/>
      <c r="D8" s="16"/>
      <c r="E8" s="16"/>
      <c r="F8" s="16"/>
      <c r="G8" s="16"/>
    </row>
    <row r="9" spans="1:8" ht="16.5" customHeight="1" x14ac:dyDescent="0.25">
      <c r="A9" s="29" t="s">
        <v>42</v>
      </c>
      <c r="B9" s="29"/>
      <c r="C9" s="29"/>
      <c r="D9" s="29"/>
      <c r="E9" s="16"/>
      <c r="F9" s="17">
        <v>100</v>
      </c>
      <c r="G9" s="16"/>
      <c r="H9" s="44">
        <f>'JMC - 1 (Rev. Req)'!E22</f>
        <v>163903.82449984219</v>
      </c>
    </row>
    <row r="10" spans="1:8" ht="16.5" customHeight="1" x14ac:dyDescent="0.25">
      <c r="A10" s="29"/>
      <c r="B10" s="29"/>
      <c r="C10" s="29"/>
      <c r="D10" s="29"/>
      <c r="E10" s="16"/>
      <c r="F10" s="17"/>
      <c r="G10" s="16"/>
      <c r="H10" s="31"/>
    </row>
    <row r="11" spans="1:8" ht="16.5" customHeight="1" x14ac:dyDescent="0.25">
      <c r="A11" s="29" t="s">
        <v>78</v>
      </c>
      <c r="B11" s="29"/>
      <c r="C11" s="29"/>
      <c r="D11" s="29"/>
      <c r="E11" s="16"/>
      <c r="F11" s="17">
        <f>[6]Summary!$F$145*100</f>
        <v>0.94170506464005233</v>
      </c>
      <c r="G11" s="16"/>
      <c r="H11" s="44">
        <f>($H$9*F11)/$F$9</f>
        <v>1543.4906164537567</v>
      </c>
    </row>
    <row r="12" spans="1:8" ht="16.5" customHeight="1" x14ac:dyDescent="0.25">
      <c r="A12" s="29" t="s">
        <v>49</v>
      </c>
      <c r="B12" s="29"/>
      <c r="C12" s="29"/>
      <c r="D12" s="29"/>
      <c r="E12" s="29"/>
      <c r="F12" s="17">
        <f>'JMC - 18 (Assessment - #5)'!F12*100</f>
        <v>0.21535424431399999</v>
      </c>
      <c r="G12" s="16"/>
      <c r="H12" s="44">
        <f t="shared" ref="H12:H13" si="0">($H$9*F12)/$F$9</f>
        <v>352.9738426533799</v>
      </c>
    </row>
    <row r="13" spans="1:8" ht="16.5" customHeight="1" x14ac:dyDescent="0.25">
      <c r="A13" s="29" t="s">
        <v>97</v>
      </c>
      <c r="B13" s="29"/>
      <c r="C13" s="29"/>
      <c r="D13" s="29"/>
      <c r="E13" s="29"/>
      <c r="F13" s="382">
        <f>'JMC - 18 (Assessment - #5)'!G12*100</f>
        <v>5.3475905192400003E-2</v>
      </c>
      <c r="G13" s="16"/>
      <c r="H13" s="46">
        <f t="shared" si="0"/>
        <v>87.649053796253298</v>
      </c>
    </row>
    <row r="14" spans="1:8" ht="16.5" customHeight="1" x14ac:dyDescent="0.25">
      <c r="A14" s="29"/>
      <c r="B14" s="29"/>
      <c r="C14" s="29"/>
      <c r="D14" s="29"/>
      <c r="E14" s="29"/>
      <c r="F14" s="17"/>
      <c r="G14" s="16"/>
      <c r="H14" s="31"/>
    </row>
    <row r="15" spans="1:8" ht="16.5" customHeight="1" x14ac:dyDescent="0.25">
      <c r="A15" s="161" t="s">
        <v>135</v>
      </c>
      <c r="B15" s="194"/>
      <c r="C15" s="194"/>
      <c r="D15" s="194"/>
      <c r="E15" s="29"/>
      <c r="F15" s="17">
        <f>+F9-F11-F12-F13</f>
        <v>98.789464785853554</v>
      </c>
      <c r="G15" s="16"/>
      <c r="H15" s="45">
        <f>+H9-H11-H12-H13</f>
        <v>161919.71098693879</v>
      </c>
    </row>
    <row r="16" spans="1:8" ht="16.5" customHeight="1" x14ac:dyDescent="0.25">
      <c r="A16" s="29"/>
      <c r="B16" s="29"/>
      <c r="C16" s="29"/>
      <c r="D16" s="29"/>
      <c r="E16" s="29"/>
      <c r="F16" s="17"/>
      <c r="G16" s="16"/>
      <c r="H16" s="44"/>
    </row>
    <row r="17" spans="1:8" ht="16.5" customHeight="1" thickBot="1" x14ac:dyDescent="0.3">
      <c r="A17" s="29" t="s">
        <v>112</v>
      </c>
      <c r="B17" s="29"/>
      <c r="C17" s="29"/>
      <c r="D17" s="29"/>
      <c r="E17" s="29"/>
      <c r="F17" s="18">
        <f>+F15*0.09</f>
        <v>8.8910518307268198</v>
      </c>
      <c r="G17" s="16"/>
      <c r="H17" s="46">
        <f>H15*0.09</f>
        <v>14572.773988824491</v>
      </c>
    </row>
    <row r="18" spans="1:8" ht="16.5" customHeight="1" x14ac:dyDescent="0.25">
      <c r="A18" s="29"/>
      <c r="B18" s="29"/>
      <c r="C18" s="29"/>
      <c r="D18" s="29"/>
      <c r="E18" s="29"/>
      <c r="F18" s="17"/>
      <c r="G18" s="16"/>
      <c r="H18" s="44"/>
    </row>
    <row r="19" spans="1:8" ht="16.5" customHeight="1" x14ac:dyDescent="0.25">
      <c r="A19" s="29" t="s">
        <v>43</v>
      </c>
      <c r="B19" s="29"/>
      <c r="C19" s="29"/>
      <c r="D19" s="29"/>
      <c r="E19" s="29"/>
      <c r="F19" s="17">
        <f>+F15-F17</f>
        <v>89.89841295512673</v>
      </c>
      <c r="G19" s="16"/>
      <c r="H19" s="45">
        <f>+H15-H17</f>
        <v>147346.93699811431</v>
      </c>
    </row>
    <row r="20" spans="1:8" ht="16.5" customHeight="1" x14ac:dyDescent="0.25">
      <c r="A20" s="29"/>
      <c r="B20" s="29"/>
      <c r="C20" s="29"/>
      <c r="D20" s="29"/>
      <c r="E20" s="29"/>
      <c r="F20" s="17"/>
      <c r="G20" s="16"/>
      <c r="H20" s="44"/>
    </row>
    <row r="21" spans="1:8" ht="16.5" customHeight="1" thickBot="1" x14ac:dyDescent="0.3">
      <c r="A21" s="282" t="s">
        <v>191</v>
      </c>
      <c r="B21" s="29"/>
      <c r="C21" s="29"/>
      <c r="D21" s="29"/>
      <c r="E21" s="47"/>
      <c r="F21" s="18">
        <f>+F19*0.21</f>
        <v>18.878666720576614</v>
      </c>
      <c r="G21" s="16"/>
      <c r="H21" s="46">
        <f>H19*0.21</f>
        <v>30942.856769604005</v>
      </c>
    </row>
    <row r="22" spans="1:8" ht="16.5" customHeight="1" x14ac:dyDescent="0.25">
      <c r="A22" s="29"/>
      <c r="B22" s="29"/>
      <c r="C22" s="29"/>
      <c r="D22" s="29"/>
      <c r="E22" s="29"/>
      <c r="F22" s="17"/>
      <c r="G22" s="16"/>
      <c r="H22" s="44"/>
    </row>
    <row r="23" spans="1:8" ht="16.5" customHeight="1" thickBot="1" x14ac:dyDescent="0.3">
      <c r="A23" s="29" t="s">
        <v>44</v>
      </c>
      <c r="B23" s="29"/>
      <c r="C23" s="29"/>
      <c r="D23" s="29"/>
      <c r="E23" s="29"/>
      <c r="F23" s="18">
        <f>+F19-F21</f>
        <v>71.019746234550112</v>
      </c>
      <c r="G23" s="16"/>
      <c r="H23" s="286">
        <f>+H19-H21</f>
        <v>116404.08022851031</v>
      </c>
    </row>
    <row r="24" spans="1:8" ht="16.5" customHeight="1" x14ac:dyDescent="0.25">
      <c r="A24" s="19"/>
      <c r="B24" s="19"/>
      <c r="C24" s="19"/>
      <c r="D24" s="19"/>
      <c r="E24" s="19"/>
      <c r="F24" s="17"/>
      <c r="G24" s="19"/>
      <c r="H24" s="31"/>
    </row>
    <row r="25" spans="1:8" ht="16.5" customHeight="1" thickBot="1" x14ac:dyDescent="0.3">
      <c r="A25" s="38" t="s">
        <v>3</v>
      </c>
      <c r="B25" s="38"/>
      <c r="C25" s="38"/>
      <c r="D25" s="38"/>
      <c r="F25" s="21">
        <f>ROUND(F9/F23,4)</f>
        <v>1.4080999999999999</v>
      </c>
      <c r="G25" s="20"/>
      <c r="H25" s="340">
        <f>ROUND(H9/H23,4)</f>
        <v>1.4080999999999999</v>
      </c>
    </row>
    <row r="26" spans="1:8" ht="16.5" customHeight="1" thickTop="1" x14ac:dyDescent="0.25">
      <c r="A26" s="19"/>
      <c r="B26" s="19"/>
      <c r="C26" s="19"/>
      <c r="D26" s="19"/>
      <c r="E26" s="19"/>
      <c r="F26" s="17"/>
      <c r="G26" s="19"/>
    </row>
    <row r="27" spans="1:8" ht="16.5" x14ac:dyDescent="0.25">
      <c r="A27" s="9" t="s">
        <v>238</v>
      </c>
      <c r="B27" s="15"/>
      <c r="C27" s="15"/>
      <c r="D27" s="15"/>
      <c r="E27" s="15"/>
      <c r="F27" s="15"/>
      <c r="G27" s="15"/>
    </row>
    <row r="28" spans="1:8" ht="16.5" x14ac:dyDescent="0.25">
      <c r="A28" s="15"/>
      <c r="B28" s="333" t="s">
        <v>283</v>
      </c>
      <c r="C28" s="399" t="s">
        <v>297</v>
      </c>
      <c r="D28" s="399"/>
      <c r="E28" s="31" t="s">
        <v>78</v>
      </c>
      <c r="F28" s="15"/>
      <c r="G28" s="15"/>
    </row>
    <row r="29" spans="1:8" ht="16.5" x14ac:dyDescent="0.25">
      <c r="A29" s="15"/>
      <c r="B29" s="333"/>
      <c r="C29" s="2"/>
      <c r="D29" s="31"/>
      <c r="E29" s="15"/>
      <c r="F29" s="15"/>
      <c r="G29" s="15"/>
    </row>
    <row r="30" spans="1:8" x14ac:dyDescent="0.2">
      <c r="A30" s="15"/>
      <c r="B30" s="15"/>
      <c r="C30" s="15"/>
      <c r="D30" s="15"/>
      <c r="E30" s="15"/>
      <c r="F30" s="15"/>
      <c r="G30" s="15"/>
    </row>
    <row r="37" spans="1:7" x14ac:dyDescent="0.2">
      <c r="E37" s="15"/>
    </row>
    <row r="38" spans="1:7" x14ac:dyDescent="0.2">
      <c r="A38" s="15"/>
      <c r="B38" s="15"/>
      <c r="C38" s="15"/>
      <c r="D38" s="15"/>
      <c r="E38" s="15"/>
      <c r="F38" s="15"/>
      <c r="G38" s="15"/>
    </row>
    <row r="39" spans="1:7" x14ac:dyDescent="0.2">
      <c r="A39" s="15"/>
      <c r="B39" s="15"/>
      <c r="C39" s="15"/>
      <c r="D39" s="15"/>
      <c r="E39" s="15"/>
      <c r="F39" s="15"/>
      <c r="G39" s="15"/>
    </row>
    <row r="40" spans="1:7" x14ac:dyDescent="0.2">
      <c r="A40" s="15"/>
      <c r="B40" s="15"/>
      <c r="C40" s="15"/>
      <c r="D40" s="15"/>
      <c r="E40" s="15"/>
      <c r="F40" s="15"/>
      <c r="G40" s="15"/>
    </row>
  </sheetData>
  <mergeCells count="3">
    <mergeCell ref="A3:F3"/>
    <mergeCell ref="A5:F5"/>
    <mergeCell ref="C28:D28"/>
  </mergeCells>
  <phoneticPr fontId="2" type="noConversion"/>
  <pageMargins left="1" right="0.25" top="1.25" bottom="0.25" header="0.5" footer="0.5"/>
  <pageSetup scale="95" orientation="portrait" r:id="rId1"/>
  <headerFooter alignWithMargins="0">
    <oddHeader xml:space="preserve">&amp;R&amp;"Arial,Bold"&amp;14EXHIBIT P-3
SCHEDULE JMC-4
UPDATE-1  </oddHeader>
    <oddFooter xml:space="preserve">&amp;C&amp;K000000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  <pageSetUpPr fitToPage="1"/>
  </sheetPr>
  <dimension ref="A1:J63"/>
  <sheetViews>
    <sheetView topLeftCell="A7" zoomScaleNormal="100" workbookViewId="0">
      <selection activeCell="E22" sqref="E22"/>
    </sheetView>
  </sheetViews>
  <sheetFormatPr defaultRowHeight="16.5" x14ac:dyDescent="0.25"/>
  <cols>
    <col min="1" max="5" width="12.7109375" style="2" customWidth="1"/>
    <col min="6" max="6" width="22.7109375" style="5" customWidth="1"/>
    <col min="7" max="7" width="5.7109375" style="5" customWidth="1"/>
    <col min="8" max="8" width="15.42578125" style="2" customWidth="1"/>
    <col min="9" max="9" width="16.85546875" style="2" bestFit="1" customWidth="1"/>
    <col min="10" max="10" width="12.7109375" style="2" bestFit="1" customWidth="1"/>
    <col min="11" max="16384" width="9.140625" style="2"/>
  </cols>
  <sheetData>
    <row r="1" spans="1:9" x14ac:dyDescent="0.25">
      <c r="A1" s="220"/>
    </row>
    <row r="3" spans="1:9" x14ac:dyDescent="0.25">
      <c r="A3" s="403" t="s">
        <v>109</v>
      </c>
      <c r="B3" s="403"/>
      <c r="C3" s="403"/>
      <c r="D3" s="403"/>
      <c r="E3" s="403"/>
      <c r="F3" s="403"/>
      <c r="G3" s="403"/>
    </row>
    <row r="5" spans="1:9" x14ac:dyDescent="0.25">
      <c r="A5" s="403" t="s">
        <v>120</v>
      </c>
      <c r="B5" s="397"/>
      <c r="C5" s="397"/>
      <c r="D5" s="397"/>
      <c r="E5" s="397"/>
      <c r="F5" s="397"/>
      <c r="G5" s="397"/>
    </row>
    <row r="6" spans="1:9" x14ac:dyDescent="0.25">
      <c r="A6" s="398" t="s">
        <v>50</v>
      </c>
      <c r="B6" s="398"/>
      <c r="C6" s="398"/>
      <c r="D6" s="398"/>
      <c r="E6" s="398"/>
      <c r="F6" s="398"/>
      <c r="G6" s="398"/>
    </row>
    <row r="7" spans="1:9" x14ac:dyDescent="0.25">
      <c r="A7" s="112"/>
      <c r="B7" s="112"/>
      <c r="C7" s="112"/>
      <c r="D7" s="112"/>
      <c r="E7" s="112"/>
      <c r="F7" s="112"/>
      <c r="G7" s="164"/>
    </row>
    <row r="9" spans="1:9" x14ac:dyDescent="0.25">
      <c r="F9" s="52" t="s">
        <v>77</v>
      </c>
      <c r="G9" s="165"/>
    </row>
    <row r="10" spans="1:9" x14ac:dyDescent="0.25">
      <c r="F10" s="166" t="s">
        <v>249</v>
      </c>
      <c r="G10" s="53"/>
    </row>
    <row r="12" spans="1:9" x14ac:dyDescent="0.25">
      <c r="A12" s="401" t="s">
        <v>254</v>
      </c>
      <c r="B12" s="401"/>
      <c r="C12" s="401"/>
      <c r="D12" s="401"/>
      <c r="F12" s="229">
        <f>[7]Plant!$H$68/1000</f>
        <v>2663670.4408620005</v>
      </c>
      <c r="G12" s="37"/>
      <c r="I12" s="59"/>
    </row>
    <row r="14" spans="1:9" x14ac:dyDescent="0.25">
      <c r="A14" s="2" t="s">
        <v>10</v>
      </c>
      <c r="F14" s="229">
        <f>'JMC - 6 (Plant Additions)'!F22</f>
        <v>596295.19434099994</v>
      </c>
      <c r="G14" s="85"/>
    </row>
    <row r="15" spans="1:9" x14ac:dyDescent="0.25">
      <c r="F15" s="57"/>
      <c r="G15" s="57"/>
    </row>
    <row r="16" spans="1:9" x14ac:dyDescent="0.25">
      <c r="A16" s="2" t="s">
        <v>11</v>
      </c>
      <c r="F16" s="57"/>
      <c r="G16" s="57"/>
    </row>
    <row r="17" spans="1:10" x14ac:dyDescent="0.25">
      <c r="B17" s="12" t="s">
        <v>121</v>
      </c>
      <c r="F17" s="241">
        <f>-[7]Retirements!$CA$19/1000</f>
        <v>0</v>
      </c>
      <c r="G17" s="85"/>
    </row>
    <row r="18" spans="1:10" x14ac:dyDescent="0.25">
      <c r="B18" s="2" t="s">
        <v>79</v>
      </c>
      <c r="F18" s="45">
        <f>-[7]Retirements!$CA$31/1000</f>
        <v>0</v>
      </c>
      <c r="G18" s="85"/>
    </row>
    <row r="19" spans="1:10" x14ac:dyDescent="0.25">
      <c r="B19" s="2" t="s">
        <v>80</v>
      </c>
      <c r="F19" s="45">
        <f>-[7]Retirements!$CA$44/1000</f>
        <v>-763.54776000000004</v>
      </c>
      <c r="G19" s="57"/>
    </row>
    <row r="20" spans="1:10" x14ac:dyDescent="0.25">
      <c r="B20" s="2" t="s">
        <v>12</v>
      </c>
      <c r="F20" s="45">
        <f>-[7]Retirements!$CA$68/1000</f>
        <v>-7584.8591700000006</v>
      </c>
      <c r="G20" s="85"/>
    </row>
    <row r="21" spans="1:10" x14ac:dyDescent="0.25">
      <c r="B21" s="2" t="s">
        <v>13</v>
      </c>
      <c r="F21" s="45">
        <f>-[7]Retirements!$CA$89/1000</f>
        <v>0</v>
      </c>
      <c r="G21" s="85"/>
    </row>
    <row r="22" spans="1:10" x14ac:dyDescent="0.25">
      <c r="B22" s="399" t="s">
        <v>14</v>
      </c>
      <c r="C22" s="399"/>
      <c r="D22" s="399"/>
      <c r="F22" s="89">
        <f>SUM(F17:F21)</f>
        <v>-8348.406930000001</v>
      </c>
      <c r="G22" s="56"/>
    </row>
    <row r="24" spans="1:10" x14ac:dyDescent="0.25">
      <c r="A24" s="401" t="s">
        <v>179</v>
      </c>
      <c r="B24" s="401"/>
      <c r="F24" s="386">
        <f>[7]Plant!$G$83/1000</f>
        <v>38409.392999999996</v>
      </c>
    </row>
    <row r="25" spans="1:10" x14ac:dyDescent="0.25">
      <c r="A25" s="245"/>
      <c r="B25" s="399" t="s">
        <v>180</v>
      </c>
      <c r="C25" s="399"/>
      <c r="D25" s="399"/>
      <c r="F25" s="56">
        <f>SUM(F24:F24)</f>
        <v>38409.392999999996</v>
      </c>
    </row>
    <row r="26" spans="1:10" x14ac:dyDescent="0.25">
      <c r="H26" s="392"/>
      <c r="I26" s="392"/>
      <c r="J26" s="392"/>
    </row>
    <row r="27" spans="1:10" ht="17.25" thickBot="1" x14ac:dyDescent="0.3">
      <c r="A27" s="405" t="s">
        <v>122</v>
      </c>
      <c r="B27" s="406"/>
      <c r="C27" s="406"/>
      <c r="D27" s="406"/>
      <c r="F27" s="82">
        <f>F12+F14+F22+F25</f>
        <v>3290026.6212730003</v>
      </c>
      <c r="G27" s="125"/>
      <c r="I27" s="24"/>
      <c r="J27" s="66"/>
    </row>
    <row r="28" spans="1:10" ht="17.25" thickTop="1" x14ac:dyDescent="0.25">
      <c r="F28" s="2"/>
      <c r="G28" s="2"/>
    </row>
    <row r="29" spans="1:10" x14ac:dyDescent="0.25">
      <c r="A29" s="9" t="s">
        <v>238</v>
      </c>
      <c r="F29" s="2"/>
      <c r="G29" s="2"/>
    </row>
    <row r="30" spans="1:10" x14ac:dyDescent="0.25">
      <c r="A30" s="9"/>
      <c r="B30" s="333" t="s">
        <v>311</v>
      </c>
      <c r="C30" s="399" t="s">
        <v>303</v>
      </c>
      <c r="D30" s="399"/>
      <c r="E30" s="2" t="s">
        <v>272</v>
      </c>
      <c r="F30" s="2"/>
      <c r="G30" s="2"/>
    </row>
    <row r="31" spans="1:10" x14ac:dyDescent="0.25">
      <c r="B31" s="333"/>
      <c r="C31" s="399"/>
      <c r="D31" s="399"/>
      <c r="F31" s="2"/>
      <c r="G31" s="2"/>
    </row>
    <row r="32" spans="1:10" x14ac:dyDescent="0.25">
      <c r="F32" s="2"/>
      <c r="G32" s="2"/>
    </row>
    <row r="46" spans="6:7" x14ac:dyDescent="0.25">
      <c r="F46" s="2"/>
      <c r="G46" s="2"/>
    </row>
    <row r="47" spans="6:7" x14ac:dyDescent="0.25">
      <c r="F47" s="2"/>
      <c r="G47" s="2"/>
    </row>
    <row r="48" spans="6:7" x14ac:dyDescent="0.25">
      <c r="F48" s="2"/>
      <c r="G48" s="2"/>
    </row>
    <row r="49" spans="1:7" x14ac:dyDescent="0.25">
      <c r="F49" s="2"/>
      <c r="G49" s="2"/>
    </row>
    <row r="50" spans="1:7" x14ac:dyDescent="0.25">
      <c r="F50" s="2"/>
      <c r="G50" s="2"/>
    </row>
    <row r="51" spans="1:7" x14ac:dyDescent="0.25">
      <c r="F51" s="2"/>
      <c r="G51" s="2"/>
    </row>
    <row r="52" spans="1:7" x14ac:dyDescent="0.25">
      <c r="F52" s="2"/>
      <c r="G52" s="2"/>
    </row>
    <row r="53" spans="1:7" x14ac:dyDescent="0.25">
      <c r="F53" s="2"/>
      <c r="G53" s="2"/>
    </row>
    <row r="54" spans="1:7" x14ac:dyDescent="0.25">
      <c r="F54" s="2"/>
      <c r="G54" s="2"/>
    </row>
    <row r="55" spans="1:7" x14ac:dyDescent="0.25">
      <c r="F55" s="2"/>
      <c r="G55" s="2"/>
    </row>
    <row r="56" spans="1:7" x14ac:dyDescent="0.25">
      <c r="F56" s="2"/>
      <c r="G56" s="2"/>
    </row>
    <row r="57" spans="1:7" x14ac:dyDescent="0.25">
      <c r="F57" s="2"/>
      <c r="G57" s="2"/>
    </row>
    <row r="58" spans="1:7" x14ac:dyDescent="0.25">
      <c r="F58" s="2"/>
      <c r="G58" s="2"/>
    </row>
    <row r="59" spans="1:7" x14ac:dyDescent="0.25">
      <c r="F59" s="2"/>
      <c r="G59" s="2"/>
    </row>
    <row r="60" spans="1:7" x14ac:dyDescent="0.25">
      <c r="B60" s="399"/>
      <c r="C60" s="399"/>
      <c r="F60" s="2"/>
      <c r="G60" s="2"/>
    </row>
    <row r="61" spans="1:7" x14ac:dyDescent="0.25">
      <c r="F61" s="2"/>
      <c r="G61" s="2"/>
    </row>
    <row r="63" spans="1:7" x14ac:dyDescent="0.25">
      <c r="A63" s="9"/>
      <c r="F63" s="167"/>
      <c r="G63" s="167"/>
    </row>
  </sheetData>
  <mergeCells count="11">
    <mergeCell ref="B60:C60"/>
    <mergeCell ref="A3:G3"/>
    <mergeCell ref="A5:G5"/>
    <mergeCell ref="A6:G6"/>
    <mergeCell ref="A27:D27"/>
    <mergeCell ref="B22:D22"/>
    <mergeCell ref="A12:D12"/>
    <mergeCell ref="A24:B24"/>
    <mergeCell ref="B25:D25"/>
    <mergeCell ref="C30:D30"/>
    <mergeCell ref="C31:D31"/>
  </mergeCells>
  <phoneticPr fontId="2" type="noConversion"/>
  <pageMargins left="1" right="0.25" top="1.25" bottom="0.25" header="0.5" footer="0.5"/>
  <pageSetup orientation="portrait" r:id="rId1"/>
  <headerFooter alignWithMargins="0">
    <oddHeader xml:space="preserve">&amp;R&amp;"Arial,Bold"&amp;14EXHIBIT P-3
SCHEDULE JMC-5
UPDATE-1  </oddHeader>
    <oddFooter xml:space="preserve">&amp;C&amp;K000000
</oddFooter>
  </headerFooter>
  <rowBreaks count="1" manualBreakCount="1">
    <brk id="10" max="16383" man="1"/>
  </rowBreaks>
  <ignoredErrors>
    <ignoredError sqref="A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  <pageSetUpPr fitToPage="1"/>
  </sheetPr>
  <dimension ref="A1:G49"/>
  <sheetViews>
    <sheetView zoomScaleNormal="100" workbookViewId="0">
      <selection activeCell="E22" sqref="E22"/>
    </sheetView>
  </sheetViews>
  <sheetFormatPr defaultRowHeight="16.5" x14ac:dyDescent="0.25"/>
  <cols>
    <col min="1" max="5" width="12.7109375" style="2" customWidth="1"/>
    <col min="6" max="6" width="22.7109375" style="5" customWidth="1"/>
    <col min="7" max="7" width="5.7109375" style="5" customWidth="1"/>
    <col min="8" max="16384" width="9.140625" style="2"/>
  </cols>
  <sheetData>
    <row r="1" spans="1:7" x14ac:dyDescent="0.25">
      <c r="A1" s="220"/>
    </row>
    <row r="3" spans="1:7" x14ac:dyDescent="0.25">
      <c r="A3" s="403" t="s">
        <v>109</v>
      </c>
      <c r="B3" s="403"/>
      <c r="C3" s="403"/>
      <c r="D3" s="403"/>
      <c r="E3" s="403"/>
      <c r="F3" s="403"/>
      <c r="G3" s="403"/>
    </row>
    <row r="5" spans="1:7" x14ac:dyDescent="0.25">
      <c r="A5" s="397" t="s">
        <v>181</v>
      </c>
      <c r="B5" s="403"/>
      <c r="C5" s="403"/>
      <c r="D5" s="403"/>
      <c r="E5" s="397"/>
      <c r="F5" s="397"/>
      <c r="G5" s="397"/>
    </row>
    <row r="6" spans="1:7" x14ac:dyDescent="0.25">
      <c r="A6" s="398" t="s">
        <v>50</v>
      </c>
      <c r="B6" s="398"/>
      <c r="C6" s="398"/>
      <c r="D6" s="398"/>
      <c r="E6" s="398"/>
      <c r="F6" s="398"/>
      <c r="G6" s="398"/>
    </row>
    <row r="7" spans="1:7" x14ac:dyDescent="0.25">
      <c r="A7" s="112"/>
      <c r="B7" s="154"/>
      <c r="C7" s="154"/>
      <c r="D7" s="154"/>
      <c r="E7" s="112"/>
      <c r="F7" s="112"/>
      <c r="G7" s="164"/>
    </row>
    <row r="9" spans="1:7" x14ac:dyDescent="0.25">
      <c r="F9" s="52" t="s">
        <v>77</v>
      </c>
      <c r="G9" s="165"/>
    </row>
    <row r="10" spans="1:7" x14ac:dyDescent="0.25">
      <c r="F10" s="166" t="s">
        <v>249</v>
      </c>
      <c r="G10" s="53"/>
    </row>
    <row r="12" spans="1:7" x14ac:dyDescent="0.25">
      <c r="A12" s="401" t="s">
        <v>121</v>
      </c>
      <c r="B12" s="402"/>
      <c r="C12" s="12"/>
      <c r="D12" s="12"/>
      <c r="F12" s="61">
        <f>[7]Additions!$CD$20/1000</f>
        <v>0</v>
      </c>
      <c r="G12" s="61"/>
    </row>
    <row r="13" spans="1:7" x14ac:dyDescent="0.25">
      <c r="F13" s="57"/>
      <c r="G13" s="57"/>
    </row>
    <row r="14" spans="1:7" x14ac:dyDescent="0.25">
      <c r="A14" s="402" t="s">
        <v>79</v>
      </c>
      <c r="B14" s="402"/>
      <c r="F14" s="44">
        <f>[7]Additions!$CD$32/1000</f>
        <v>25.404240000000001</v>
      </c>
      <c r="G14" s="44"/>
    </row>
    <row r="15" spans="1:7" x14ac:dyDescent="0.25">
      <c r="F15" s="44"/>
      <c r="G15" s="44"/>
    </row>
    <row r="16" spans="1:7" x14ac:dyDescent="0.25">
      <c r="A16" s="402" t="s">
        <v>80</v>
      </c>
      <c r="B16" s="402"/>
      <c r="F16" s="44">
        <f>[7]Additions!$CD$45/1000</f>
        <v>302391.99387000001</v>
      </c>
      <c r="G16" s="44"/>
    </row>
    <row r="17" spans="1:7" x14ac:dyDescent="0.25">
      <c r="F17" s="44"/>
      <c r="G17" s="44"/>
    </row>
    <row r="18" spans="1:7" x14ac:dyDescent="0.25">
      <c r="A18" s="401" t="s">
        <v>12</v>
      </c>
      <c r="B18" s="401"/>
      <c r="C18" s="224"/>
      <c r="D18" s="224"/>
      <c r="F18" s="44">
        <f>[7]Additions!$CD$70/1000</f>
        <v>234468.79705000002</v>
      </c>
      <c r="G18" s="44"/>
    </row>
    <row r="19" spans="1:7" x14ac:dyDescent="0.25">
      <c r="F19" s="44"/>
      <c r="G19" s="44"/>
    </row>
    <row r="20" spans="1:7" x14ac:dyDescent="0.25">
      <c r="A20" s="402" t="s">
        <v>13</v>
      </c>
      <c r="B20" s="402"/>
      <c r="F20" s="46">
        <f>[7]Additions!$CD$91/1000</f>
        <v>59408.999180999992</v>
      </c>
      <c r="G20" s="44"/>
    </row>
    <row r="22" spans="1:7" ht="17.25" thickBot="1" x14ac:dyDescent="0.3">
      <c r="A22" s="395" t="s">
        <v>10</v>
      </c>
      <c r="B22" s="395"/>
      <c r="C22" s="395"/>
      <c r="D22" s="155"/>
      <c r="F22" s="90">
        <f>SUM(F11:F21)</f>
        <v>596295.19434099994</v>
      </c>
      <c r="G22" s="125"/>
    </row>
    <row r="23" spans="1:7" ht="17.25" thickTop="1" x14ac:dyDescent="0.25">
      <c r="F23" s="2"/>
      <c r="G23" s="2"/>
    </row>
    <row r="24" spans="1:7" x14ac:dyDescent="0.25">
      <c r="A24" s="9" t="s">
        <v>238</v>
      </c>
      <c r="F24" s="2"/>
      <c r="G24" s="2"/>
    </row>
    <row r="25" spans="1:7" x14ac:dyDescent="0.25">
      <c r="A25" s="332"/>
      <c r="B25" s="333" t="s">
        <v>283</v>
      </c>
      <c r="C25" s="399" t="s">
        <v>303</v>
      </c>
      <c r="D25" s="399"/>
      <c r="E25" s="2" t="s">
        <v>272</v>
      </c>
      <c r="F25" s="332"/>
      <c r="G25" s="2"/>
    </row>
    <row r="26" spans="1:7" x14ac:dyDescent="0.25">
      <c r="F26" s="2"/>
      <c r="G26" s="2"/>
    </row>
    <row r="27" spans="1:7" x14ac:dyDescent="0.25">
      <c r="F27" s="2"/>
      <c r="G27" s="2"/>
    </row>
    <row r="28" spans="1:7" x14ac:dyDescent="0.25">
      <c r="F28" s="2"/>
      <c r="G28" s="2"/>
    </row>
    <row r="29" spans="1:7" x14ac:dyDescent="0.25">
      <c r="F29" s="2"/>
      <c r="G29" s="2"/>
    </row>
    <row r="30" spans="1:7" x14ac:dyDescent="0.25">
      <c r="F30" s="2"/>
      <c r="G30" s="2"/>
    </row>
    <row r="31" spans="1:7" x14ac:dyDescent="0.25">
      <c r="F31" s="2"/>
      <c r="G31" s="2"/>
    </row>
    <row r="32" spans="1:7" x14ac:dyDescent="0.25">
      <c r="F32" s="2"/>
      <c r="G32" s="2"/>
    </row>
    <row r="33" spans="6:7" x14ac:dyDescent="0.25">
      <c r="F33" s="2"/>
      <c r="G33" s="2"/>
    </row>
    <row r="34" spans="6:7" x14ac:dyDescent="0.25">
      <c r="F34" s="2"/>
      <c r="G34" s="2"/>
    </row>
    <row r="35" spans="6:7" x14ac:dyDescent="0.25">
      <c r="F35" s="2"/>
      <c r="G35" s="2"/>
    </row>
    <row r="36" spans="6:7" x14ac:dyDescent="0.25">
      <c r="F36" s="2"/>
      <c r="G36" s="2"/>
    </row>
    <row r="37" spans="6:7" x14ac:dyDescent="0.25">
      <c r="F37" s="2"/>
      <c r="G37" s="2"/>
    </row>
    <row r="38" spans="6:7" x14ac:dyDescent="0.25">
      <c r="F38" s="2"/>
      <c r="G38" s="2"/>
    </row>
    <row r="39" spans="6:7" x14ac:dyDescent="0.25">
      <c r="F39" s="2"/>
      <c r="G39" s="2"/>
    </row>
    <row r="40" spans="6:7" x14ac:dyDescent="0.25">
      <c r="F40" s="2"/>
      <c r="G40" s="2"/>
    </row>
    <row r="41" spans="6:7" x14ac:dyDescent="0.25">
      <c r="F41" s="2"/>
      <c r="G41" s="2"/>
    </row>
    <row r="42" spans="6:7" x14ac:dyDescent="0.25">
      <c r="F42" s="2"/>
      <c r="G42" s="2"/>
    </row>
    <row r="43" spans="6:7" x14ac:dyDescent="0.25">
      <c r="F43" s="2"/>
      <c r="G43" s="2"/>
    </row>
    <row r="44" spans="6:7" x14ac:dyDescent="0.25">
      <c r="F44" s="2"/>
      <c r="G44" s="2"/>
    </row>
    <row r="45" spans="6:7" x14ac:dyDescent="0.25">
      <c r="F45" s="2"/>
      <c r="G45" s="2"/>
    </row>
    <row r="46" spans="6:7" x14ac:dyDescent="0.25">
      <c r="F46" s="2"/>
      <c r="G46" s="2"/>
    </row>
    <row r="47" spans="6:7" x14ac:dyDescent="0.25">
      <c r="F47" s="2"/>
      <c r="G47" s="2"/>
    </row>
    <row r="48" spans="6:7" x14ac:dyDescent="0.25">
      <c r="F48" s="2"/>
      <c r="G48" s="2"/>
    </row>
    <row r="49" spans="6:7" x14ac:dyDescent="0.25">
      <c r="F49" s="2"/>
      <c r="G49" s="2"/>
    </row>
  </sheetData>
  <mergeCells count="10">
    <mergeCell ref="C25:D25"/>
    <mergeCell ref="A3:G3"/>
    <mergeCell ref="A5:G5"/>
    <mergeCell ref="A6:G6"/>
    <mergeCell ref="A22:C22"/>
    <mergeCell ref="A12:B12"/>
    <mergeCell ref="A14:B14"/>
    <mergeCell ref="A16:B16"/>
    <mergeCell ref="A20:B20"/>
    <mergeCell ref="A18:B18"/>
  </mergeCells>
  <phoneticPr fontId="2" type="noConversion"/>
  <pageMargins left="1" right="0.25" top="1.25" bottom="0.25" header="0.5" footer="0.5"/>
  <pageSetup orientation="portrait" r:id="rId1"/>
  <headerFooter alignWithMargins="0">
    <oddHeader xml:space="preserve">&amp;R&amp;"Arial,Bold"&amp;14EXHIBIT P-3
SCHEDULE JMC-6
UPDATE-1  </oddHeader>
    <oddFooter xml:space="preserve">&amp;C&amp;K000000
</oddFooter>
  </headerFooter>
  <rowBreaks count="1" manualBreakCount="1">
    <brk id="9" max="16383" man="1"/>
  </rowBreaks>
  <ignoredErrors>
    <ignoredError sqref="A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  <pageSetUpPr fitToPage="1"/>
  </sheetPr>
  <dimension ref="A3:O38"/>
  <sheetViews>
    <sheetView topLeftCell="A16" zoomScaleNormal="100" workbookViewId="0">
      <selection activeCell="E22" sqref="E22"/>
    </sheetView>
  </sheetViews>
  <sheetFormatPr defaultRowHeight="16.5" x14ac:dyDescent="0.25"/>
  <cols>
    <col min="1" max="1" width="12.7109375" style="2" customWidth="1"/>
    <col min="2" max="2" width="17" style="2" customWidth="1"/>
    <col min="3" max="4" width="12.7109375" style="2" customWidth="1"/>
    <col min="5" max="5" width="15.7109375" style="2" bestFit="1" customWidth="1"/>
    <col min="6" max="6" width="22.7109375" style="2" customWidth="1"/>
    <col min="7" max="7" width="6.85546875" style="2" bestFit="1" customWidth="1"/>
    <col min="8" max="8" width="11.42578125" style="2" bestFit="1" customWidth="1"/>
    <col min="9" max="9" width="5.7109375" style="2" customWidth="1"/>
    <col min="10" max="10" width="18.28515625" style="2" bestFit="1" customWidth="1"/>
    <col min="11" max="13" width="9.140625" style="2"/>
    <col min="14" max="14" width="14.42578125" style="2" bestFit="1" customWidth="1"/>
    <col min="15" max="15" width="15.7109375" style="2" bestFit="1" customWidth="1"/>
    <col min="16" max="16384" width="9.140625" style="2"/>
  </cols>
  <sheetData>
    <row r="3" spans="1:9" x14ac:dyDescent="0.25">
      <c r="A3" s="403" t="s">
        <v>109</v>
      </c>
      <c r="B3" s="403"/>
      <c r="C3" s="403"/>
      <c r="D3" s="403"/>
      <c r="E3" s="403"/>
      <c r="F3" s="403"/>
      <c r="G3" s="403"/>
      <c r="H3" s="403"/>
    </row>
    <row r="4" spans="1:9" x14ac:dyDescent="0.25">
      <c r="A4" s="220"/>
    </row>
    <row r="5" spans="1:9" x14ac:dyDescent="0.25">
      <c r="A5" s="403" t="s">
        <v>124</v>
      </c>
      <c r="B5" s="397"/>
      <c r="C5" s="397"/>
      <c r="D5" s="397"/>
      <c r="E5" s="397"/>
      <c r="F5" s="397"/>
      <c r="G5" s="397"/>
      <c r="H5" s="397"/>
    </row>
    <row r="6" spans="1:9" x14ac:dyDescent="0.25">
      <c r="A6" s="398" t="s">
        <v>50</v>
      </c>
      <c r="B6" s="398"/>
      <c r="C6" s="398"/>
      <c r="D6" s="398"/>
      <c r="E6" s="398"/>
      <c r="F6" s="398"/>
      <c r="G6" s="398"/>
      <c r="H6" s="398"/>
    </row>
    <row r="7" spans="1:9" x14ac:dyDescent="0.25">
      <c r="A7" s="112"/>
      <c r="B7" s="112"/>
      <c r="C7" s="154"/>
      <c r="D7" s="112"/>
      <c r="E7" s="112"/>
      <c r="F7" s="112"/>
      <c r="G7" s="164"/>
      <c r="H7" s="112"/>
    </row>
    <row r="8" spans="1:9" x14ac:dyDescent="0.25">
      <c r="A8" s="3"/>
      <c r="B8" s="3"/>
      <c r="C8" s="154"/>
      <c r="D8" s="3"/>
      <c r="E8" s="3"/>
      <c r="F8" s="3"/>
      <c r="G8" s="164"/>
      <c r="H8" s="3"/>
    </row>
    <row r="9" spans="1:9" x14ac:dyDescent="0.25">
      <c r="F9" s="52" t="s">
        <v>77</v>
      </c>
      <c r="G9" s="165"/>
    </row>
    <row r="10" spans="1:9" x14ac:dyDescent="0.25">
      <c r="F10" s="166" t="s">
        <v>249</v>
      </c>
      <c r="G10" s="53"/>
      <c r="H10" s="7"/>
    </row>
    <row r="11" spans="1:9" x14ac:dyDescent="0.25">
      <c r="F11" s="8"/>
      <c r="G11" s="8"/>
    </row>
    <row r="12" spans="1:9" x14ac:dyDescent="0.25">
      <c r="A12" s="401" t="s">
        <v>254</v>
      </c>
      <c r="B12" s="401"/>
      <c r="C12" s="401"/>
      <c r="D12" s="401"/>
      <c r="F12" s="229">
        <v>-589570</v>
      </c>
      <c r="G12" s="37"/>
    </row>
    <row r="13" spans="1:9" x14ac:dyDescent="0.25">
      <c r="A13" s="31"/>
      <c r="B13" s="31"/>
      <c r="C13" s="31"/>
      <c r="D13" s="31"/>
      <c r="E13" s="31"/>
      <c r="F13" s="101"/>
      <c r="G13" s="101"/>
      <c r="H13" s="31"/>
    </row>
    <row r="14" spans="1:9" x14ac:dyDescent="0.25">
      <c r="A14" s="16" t="s">
        <v>121</v>
      </c>
      <c r="B14" s="31"/>
      <c r="C14" s="31"/>
      <c r="D14" s="31"/>
      <c r="E14" s="31"/>
      <c r="F14" s="69">
        <f>-'[7]Depreciation Charges'!$CA$19/1000</f>
        <v>0</v>
      </c>
      <c r="G14" s="44"/>
      <c r="H14" s="44"/>
      <c r="I14" s="248"/>
    </row>
    <row r="15" spans="1:9" x14ac:dyDescent="0.25">
      <c r="A15" s="31" t="s">
        <v>79</v>
      </c>
      <c r="B15" s="31"/>
      <c r="C15" s="31"/>
      <c r="D15" s="31"/>
      <c r="E15" s="31"/>
      <c r="F15" s="44">
        <f>-'[7]Depreciation Charges'!$CA$31/1000</f>
        <v>-1312.2385133333335</v>
      </c>
      <c r="G15" s="44"/>
      <c r="H15" s="44"/>
      <c r="I15" s="248"/>
    </row>
    <row r="16" spans="1:9" x14ac:dyDescent="0.25">
      <c r="A16" s="31" t="s">
        <v>80</v>
      </c>
      <c r="B16" s="31"/>
      <c r="C16" s="31"/>
      <c r="D16" s="31"/>
      <c r="E16" s="31"/>
      <c r="F16" s="44">
        <f>-'[7]Depreciation Charges'!$CA$44/1000</f>
        <v>-9175.5432916666668</v>
      </c>
      <c r="G16" s="44"/>
      <c r="H16" s="44"/>
      <c r="I16" s="248"/>
    </row>
    <row r="17" spans="1:15" x14ac:dyDescent="0.25">
      <c r="A17" s="31" t="s">
        <v>12</v>
      </c>
      <c r="B17" s="31"/>
      <c r="C17" s="31"/>
      <c r="D17" s="31"/>
      <c r="E17" s="31"/>
      <c r="F17" s="44">
        <f>-'[7]Depreciation Charges'!$CA$68/1000</f>
        <v>-60255.775648243158</v>
      </c>
      <c r="G17" s="44"/>
      <c r="H17" s="44"/>
      <c r="I17" s="249"/>
    </row>
    <row r="18" spans="1:15" x14ac:dyDescent="0.25">
      <c r="A18" s="31" t="s">
        <v>13</v>
      </c>
      <c r="B18" s="31"/>
      <c r="C18" s="31"/>
      <c r="D18" s="31"/>
      <c r="E18" s="31"/>
      <c r="F18" s="44">
        <f>-'[7]Depreciation Charges'!$CA$87/1000</f>
        <v>-8272.7710200000001</v>
      </c>
      <c r="G18" s="44"/>
      <c r="H18" s="44"/>
      <c r="I18" s="248"/>
    </row>
    <row r="19" spans="1:15" x14ac:dyDescent="0.25">
      <c r="A19" s="31" t="s">
        <v>217</v>
      </c>
      <c r="B19" s="31"/>
      <c r="C19" s="31"/>
      <c r="D19" s="31"/>
      <c r="E19" s="31"/>
      <c r="F19" s="44">
        <v>2.5856599870000001</v>
      </c>
      <c r="G19" s="351"/>
      <c r="H19" s="44"/>
      <c r="I19" s="313"/>
    </row>
    <row r="20" spans="1:15" x14ac:dyDescent="0.25">
      <c r="A20" s="407" t="s">
        <v>15</v>
      </c>
      <c r="B20" s="407"/>
      <c r="C20" s="407"/>
      <c r="D20" s="408"/>
      <c r="E20" s="408"/>
      <c r="F20" s="100">
        <f>SUM(F14:F19)</f>
        <v>-79013.742813256162</v>
      </c>
      <c r="G20" s="45"/>
      <c r="H20" s="44"/>
      <c r="I20" s="66"/>
    </row>
    <row r="21" spans="1:15" x14ac:dyDescent="0.25">
      <c r="A21" s="31"/>
      <c r="B21" s="31"/>
      <c r="C21" s="31"/>
      <c r="D21" s="31"/>
      <c r="E21" s="31"/>
      <c r="F21" s="104"/>
      <c r="G21" s="104"/>
      <c r="H21" s="101"/>
    </row>
    <row r="22" spans="1:15" x14ac:dyDescent="0.25">
      <c r="A22" s="31"/>
      <c r="B22" s="31"/>
      <c r="C22" s="31"/>
      <c r="D22" s="31"/>
      <c r="E22" s="31"/>
      <c r="F22" s="44"/>
      <c r="G22" s="44"/>
      <c r="H22" s="44"/>
    </row>
    <row r="23" spans="1:15" x14ac:dyDescent="0.25">
      <c r="A23" s="31" t="s">
        <v>16</v>
      </c>
      <c r="B23" s="31"/>
      <c r="C23" s="31"/>
      <c r="D23" s="31"/>
      <c r="E23" s="31"/>
      <c r="F23" s="61">
        <f>-'JMC - 5 (Plant in Service)'!F22</f>
        <v>8348.406930000001</v>
      </c>
      <c r="G23" s="44"/>
      <c r="H23" s="44"/>
      <c r="I23" s="66"/>
    </row>
    <row r="24" spans="1:15" x14ac:dyDescent="0.25">
      <c r="A24" s="31" t="s">
        <v>188</v>
      </c>
      <c r="B24" s="31"/>
      <c r="C24" s="31"/>
      <c r="D24" s="31"/>
      <c r="E24" s="31"/>
      <c r="F24" s="44">
        <v>297.58590000000004</v>
      </c>
      <c r="G24" s="351"/>
      <c r="H24" s="44"/>
    </row>
    <row r="25" spans="1:15" x14ac:dyDescent="0.25">
      <c r="A25" s="31" t="s">
        <v>216</v>
      </c>
      <c r="B25" s="31"/>
      <c r="C25" s="31"/>
      <c r="D25" s="31"/>
      <c r="E25" s="45">
        <f>'[7]Cost of Removal'!$BY$86/1000</f>
        <v>56731.50503</v>
      </c>
      <c r="F25" s="31"/>
      <c r="G25" s="351"/>
      <c r="H25" s="44"/>
    </row>
    <row r="26" spans="1:15" x14ac:dyDescent="0.25">
      <c r="A26" s="31" t="s">
        <v>20</v>
      </c>
      <c r="B26" s="31"/>
      <c r="C26" s="31"/>
      <c r="D26" s="31"/>
      <c r="E26" s="46">
        <f>F20*(0.88/2.78)</f>
        <v>-25011.544487649437</v>
      </c>
      <c r="F26" s="31"/>
      <c r="G26" s="351"/>
      <c r="H26" s="44"/>
      <c r="N26" s="300"/>
    </row>
    <row r="27" spans="1:15" x14ac:dyDescent="0.25">
      <c r="A27" s="31" t="s">
        <v>237</v>
      </c>
      <c r="B27" s="31"/>
      <c r="C27" s="31"/>
      <c r="D27" s="31"/>
      <c r="E27" s="44"/>
      <c r="F27" s="371">
        <f>E25+E26</f>
        <v>31719.960542350564</v>
      </c>
      <c r="G27" s="44"/>
      <c r="H27" s="44"/>
    </row>
    <row r="28" spans="1:15" x14ac:dyDescent="0.25">
      <c r="A28" s="31" t="s">
        <v>271</v>
      </c>
      <c r="B28" s="31"/>
      <c r="C28" s="31"/>
      <c r="D28" s="31"/>
      <c r="E28" s="44"/>
      <c r="F28" s="371">
        <v>75080</v>
      </c>
      <c r="G28" s="351"/>
      <c r="H28" s="44"/>
      <c r="J28" s="300"/>
      <c r="N28" s="300"/>
    </row>
    <row r="29" spans="1:15" x14ac:dyDescent="0.25">
      <c r="A29" s="31" t="s">
        <v>178</v>
      </c>
      <c r="B29" s="31"/>
      <c r="C29" s="31"/>
      <c r="D29" s="31"/>
      <c r="E29" s="31"/>
      <c r="F29" s="46">
        <f>1492848.49/1000</f>
        <v>1492.8484900000001</v>
      </c>
      <c r="G29" s="351"/>
      <c r="H29" s="44"/>
      <c r="O29" s="59"/>
    </row>
    <row r="30" spans="1:15" x14ac:dyDescent="0.25">
      <c r="A30" s="407" t="s">
        <v>17</v>
      </c>
      <c r="B30" s="407"/>
      <c r="C30" s="407"/>
      <c r="D30" s="408"/>
      <c r="E30" s="408"/>
      <c r="F30" s="229">
        <f>SUM(F23:F29)</f>
        <v>116938.80186235058</v>
      </c>
      <c r="G30" s="45"/>
      <c r="H30" s="44"/>
    </row>
    <row r="31" spans="1:15" x14ac:dyDescent="0.25">
      <c r="A31" s="246"/>
      <c r="B31" s="246"/>
      <c r="C31" s="246"/>
      <c r="D31" s="247"/>
      <c r="E31" s="247"/>
      <c r="F31" s="98"/>
      <c r="G31" s="45"/>
      <c r="H31" s="44"/>
    </row>
    <row r="32" spans="1:15" ht="17.25" thickBot="1" x14ac:dyDescent="0.3">
      <c r="A32" s="31" t="s">
        <v>131</v>
      </c>
      <c r="B32" s="31"/>
      <c r="C32" s="31"/>
      <c r="D32" s="31"/>
      <c r="E32" s="31"/>
      <c r="F32" s="74">
        <f>F12+F20+F30</f>
        <v>-551644.94095090555</v>
      </c>
      <c r="G32" s="78"/>
      <c r="H32" s="44"/>
    </row>
    <row r="33" spans="1:8" ht="17.25" thickTop="1" x14ac:dyDescent="0.25">
      <c r="A33" s="410" t="s">
        <v>103</v>
      </c>
      <c r="B33" s="410"/>
      <c r="C33" s="410"/>
      <c r="D33" s="410"/>
      <c r="E33" s="31"/>
      <c r="F33" s="61">
        <f>-'JMC- 21 (Depreciation - #8)'!I18*0.5</f>
        <v>-19532.239257441244</v>
      </c>
      <c r="G33" s="44"/>
      <c r="H33" s="44"/>
    </row>
    <row r="34" spans="1:8" x14ac:dyDescent="0.25">
      <c r="F34" s="10"/>
      <c r="G34" s="10"/>
      <c r="H34" s="10"/>
    </row>
    <row r="35" spans="1:8" ht="17.25" thickBot="1" x14ac:dyDescent="0.3">
      <c r="A35" s="395" t="s">
        <v>18</v>
      </c>
      <c r="B35" s="395"/>
      <c r="C35" s="395"/>
      <c r="D35" s="409"/>
      <c r="E35" s="409"/>
      <c r="F35" s="84">
        <f>F32+F33</f>
        <v>-571177.18020834681</v>
      </c>
      <c r="G35" s="78"/>
      <c r="H35" s="10"/>
    </row>
    <row r="36" spans="1:8" ht="17.25" thickTop="1" x14ac:dyDescent="0.25"/>
    <row r="37" spans="1:8" x14ac:dyDescent="0.25">
      <c r="A37" s="9" t="s">
        <v>238</v>
      </c>
    </row>
    <row r="38" spans="1:8" x14ac:dyDescent="0.25">
      <c r="B38" s="333" t="s">
        <v>283</v>
      </c>
      <c r="C38" s="399" t="s">
        <v>312</v>
      </c>
      <c r="D38" s="399"/>
      <c r="E38" s="2" t="s">
        <v>272</v>
      </c>
    </row>
  </sheetData>
  <mergeCells count="9">
    <mergeCell ref="C38:D38"/>
    <mergeCell ref="A30:E30"/>
    <mergeCell ref="A35:E35"/>
    <mergeCell ref="A33:D33"/>
    <mergeCell ref="A3:H3"/>
    <mergeCell ref="A6:H6"/>
    <mergeCell ref="A5:H5"/>
    <mergeCell ref="A20:E20"/>
    <mergeCell ref="A12:D12"/>
  </mergeCells>
  <phoneticPr fontId="2" type="noConversion"/>
  <pageMargins left="1" right="0.25" top="1.25" bottom="0.25" header="0.5" footer="0.5"/>
  <pageSetup scale="84" orientation="portrait" r:id="rId1"/>
  <headerFooter alignWithMargins="0">
    <oddHeader xml:space="preserve">&amp;R&amp;"Arial,Bold"&amp;14EXHIBIT P-3
SCHEDULE JMC-7
UPDATE-1  </oddHeader>
    <oddFooter xml:space="preserve">&amp;C&amp;K000000
</oddFooter>
  </headerFooter>
  <ignoredErrors>
    <ignoredError sqref="A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F0"/>
    <pageSetUpPr fitToPage="1"/>
  </sheetPr>
  <dimension ref="A3:I21"/>
  <sheetViews>
    <sheetView zoomScaleNormal="100" workbookViewId="0">
      <selection activeCell="E22" sqref="E22"/>
    </sheetView>
  </sheetViews>
  <sheetFormatPr defaultRowHeight="16.5" x14ac:dyDescent="0.25"/>
  <cols>
    <col min="1" max="5" width="12.7109375" style="2" customWidth="1"/>
    <col min="6" max="6" width="21.7109375" style="2" bestFit="1" customWidth="1"/>
    <col min="7" max="7" width="12.7109375" style="2" customWidth="1"/>
    <col min="8" max="8" width="15" style="2" customWidth="1"/>
    <col min="9" max="16384" width="9.140625" style="2"/>
  </cols>
  <sheetData>
    <row r="3" spans="1:9" x14ac:dyDescent="0.25">
      <c r="A3" s="403" t="s">
        <v>109</v>
      </c>
      <c r="B3" s="403"/>
      <c r="C3" s="403"/>
      <c r="D3" s="403"/>
      <c r="E3" s="403"/>
      <c r="F3" s="403"/>
      <c r="G3" s="128"/>
      <c r="H3" s="49"/>
    </row>
    <row r="5" spans="1:9" x14ac:dyDescent="0.25">
      <c r="A5" s="403" t="s">
        <v>113</v>
      </c>
      <c r="B5" s="403"/>
      <c r="C5" s="403"/>
      <c r="D5" s="403"/>
      <c r="E5" s="403"/>
      <c r="F5" s="403"/>
      <c r="G5" s="128"/>
    </row>
    <row r="6" spans="1:9" x14ac:dyDescent="0.25">
      <c r="A6" s="398" t="s">
        <v>50</v>
      </c>
      <c r="B6" s="398"/>
      <c r="C6" s="398"/>
      <c r="D6" s="398"/>
      <c r="E6" s="398"/>
      <c r="F6" s="398"/>
      <c r="G6" s="50"/>
    </row>
    <row r="7" spans="1:9" x14ac:dyDescent="0.25">
      <c r="A7" s="144"/>
      <c r="B7" s="144"/>
      <c r="C7" s="144"/>
      <c r="D7" s="144"/>
      <c r="E7" s="144"/>
      <c r="F7" s="144"/>
      <c r="G7" s="50"/>
    </row>
    <row r="8" spans="1:9" x14ac:dyDescent="0.25">
      <c r="A8" s="112"/>
      <c r="B8" s="112"/>
      <c r="C8" s="112"/>
      <c r="D8" s="112"/>
      <c r="E8" s="112"/>
      <c r="F8" s="112"/>
      <c r="G8" s="257"/>
      <c r="H8" s="31"/>
      <c r="I8" s="31"/>
    </row>
    <row r="9" spans="1:9" ht="16.5" customHeight="1" x14ac:dyDescent="0.25">
      <c r="F9" s="52" t="s">
        <v>77</v>
      </c>
      <c r="G9" s="31"/>
      <c r="H9" s="256"/>
      <c r="I9" s="31"/>
    </row>
    <row r="10" spans="1:9" x14ac:dyDescent="0.25">
      <c r="F10" s="166" t="s">
        <v>249</v>
      </c>
      <c r="G10" s="31"/>
      <c r="H10" s="256"/>
      <c r="I10" s="31"/>
    </row>
    <row r="11" spans="1:9" x14ac:dyDescent="0.25">
      <c r="F11" s="127"/>
    </row>
    <row r="12" spans="1:9" x14ac:dyDescent="0.25">
      <c r="A12" s="2" t="s">
        <v>107</v>
      </c>
      <c r="F12" s="61">
        <f>[5]detail!$AT$492/1000</f>
        <v>-2560.523248461539</v>
      </c>
      <c r="G12" s="411"/>
      <c r="H12" s="411"/>
    </row>
    <row r="13" spans="1:9" x14ac:dyDescent="0.25">
      <c r="H13" s="63"/>
    </row>
    <row r="14" spans="1:9" ht="23.25" customHeight="1" thickBot="1" x14ac:dyDescent="0.3">
      <c r="A14" s="396" t="s">
        <v>114</v>
      </c>
      <c r="B14" s="396"/>
      <c r="C14" s="396"/>
      <c r="D14" s="396"/>
      <c r="F14" s="84">
        <f>SUM(F12:F13)</f>
        <v>-2560.523248461539</v>
      </c>
      <c r="H14" s="78"/>
    </row>
    <row r="15" spans="1:9" ht="17.25" thickTop="1" x14ac:dyDescent="0.25">
      <c r="H15" s="63"/>
    </row>
    <row r="18" spans="1:7" x14ac:dyDescent="0.25">
      <c r="A18" s="401" t="s">
        <v>296</v>
      </c>
      <c r="B18" s="402"/>
      <c r="C18" s="402"/>
      <c r="D18" s="402"/>
      <c r="E18" s="402"/>
      <c r="F18" s="402"/>
      <c r="G18" s="83"/>
    </row>
    <row r="20" spans="1:7" x14ac:dyDescent="0.25">
      <c r="A20" s="9" t="s">
        <v>238</v>
      </c>
    </row>
    <row r="21" spans="1:7" x14ac:dyDescent="0.25">
      <c r="B21" s="333" t="s">
        <v>283</v>
      </c>
      <c r="C21" s="399" t="s">
        <v>295</v>
      </c>
      <c r="D21" s="399"/>
      <c r="E21" s="2" t="s">
        <v>273</v>
      </c>
    </row>
  </sheetData>
  <mergeCells count="7">
    <mergeCell ref="C21:D21"/>
    <mergeCell ref="G12:H12"/>
    <mergeCell ref="A18:F18"/>
    <mergeCell ref="A14:D14"/>
    <mergeCell ref="A3:F3"/>
    <mergeCell ref="A5:F5"/>
    <mergeCell ref="A6:F6"/>
  </mergeCells>
  <phoneticPr fontId="2" type="noConversion"/>
  <pageMargins left="1" right="0.25" top="1.25" bottom="0.25" header="0.5" footer="0.5"/>
  <pageSetup scale="83" orientation="portrait" r:id="rId1"/>
  <headerFooter alignWithMargins="0">
    <oddHeader xml:space="preserve">&amp;R&amp;"Arial,Bold"&amp;14EXHIBIT P-3
SCHEDULE JMC-8
UPDATE-1  </oddHeader>
    <oddFooter xml:space="preserve">&amp;C&amp;K000000
</oddFooter>
  </headerFooter>
  <ignoredErrors>
    <ignoredError sqref="A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F0"/>
    <pageSetUpPr fitToPage="1"/>
  </sheetPr>
  <dimension ref="A3:I24"/>
  <sheetViews>
    <sheetView zoomScaleNormal="100" workbookViewId="0">
      <selection activeCell="E22" sqref="E22"/>
    </sheetView>
  </sheetViews>
  <sheetFormatPr defaultColWidth="11.42578125" defaultRowHeight="16.5" x14ac:dyDescent="0.25"/>
  <cols>
    <col min="1" max="5" width="15.7109375" style="2" customWidth="1"/>
    <col min="6" max="6" width="21.7109375" style="2" bestFit="1" customWidth="1"/>
    <col min="7" max="7" width="12.7109375" style="2" customWidth="1"/>
    <col min="8" max="8" width="14.85546875" style="2" bestFit="1" customWidth="1"/>
    <col min="9" max="16384" width="11.42578125" style="2"/>
  </cols>
  <sheetData>
    <row r="3" spans="1:9" x14ac:dyDescent="0.25">
      <c r="A3" s="403" t="s">
        <v>109</v>
      </c>
      <c r="B3" s="403"/>
      <c r="C3" s="403"/>
      <c r="D3" s="403"/>
      <c r="E3" s="403"/>
      <c r="F3" s="403"/>
      <c r="G3" s="128"/>
      <c r="H3" s="49"/>
      <c r="I3" s="49"/>
    </row>
    <row r="5" spans="1:9" x14ac:dyDescent="0.25">
      <c r="A5" s="397" t="s">
        <v>174</v>
      </c>
      <c r="B5" s="403"/>
      <c r="C5" s="403"/>
      <c r="D5" s="403"/>
      <c r="E5" s="403"/>
      <c r="F5" s="403"/>
      <c r="G5" s="128"/>
      <c r="H5" s="49"/>
      <c r="I5" s="49"/>
    </row>
    <row r="6" spans="1:9" x14ac:dyDescent="0.25">
      <c r="A6" s="398" t="s">
        <v>50</v>
      </c>
      <c r="B6" s="398"/>
      <c r="C6" s="398"/>
      <c r="D6" s="398"/>
      <c r="E6" s="398"/>
      <c r="F6" s="398"/>
      <c r="G6" s="50"/>
      <c r="H6" s="50"/>
      <c r="I6" s="50"/>
    </row>
    <row r="7" spans="1:9" x14ac:dyDescent="0.25">
      <c r="A7" s="144"/>
      <c r="B7" s="144"/>
      <c r="C7" s="144"/>
      <c r="D7" s="144"/>
      <c r="E7" s="144"/>
      <c r="F7" s="144"/>
      <c r="G7" s="50"/>
      <c r="H7" s="50"/>
      <c r="I7" s="50"/>
    </row>
    <row r="8" spans="1:9" x14ac:dyDescent="0.25">
      <c r="A8" s="3"/>
      <c r="B8" s="3"/>
      <c r="C8" s="3"/>
      <c r="D8" s="3"/>
      <c r="E8" s="3"/>
      <c r="F8" s="3"/>
      <c r="G8" s="3"/>
      <c r="H8" s="3"/>
      <c r="I8" s="50"/>
    </row>
    <row r="9" spans="1:9" x14ac:dyDescent="0.25">
      <c r="F9" s="52" t="s">
        <v>77</v>
      </c>
      <c r="I9" s="28"/>
    </row>
    <row r="10" spans="1:9" x14ac:dyDescent="0.25">
      <c r="F10" s="166" t="s">
        <v>249</v>
      </c>
      <c r="I10" s="28"/>
    </row>
    <row r="11" spans="1:9" x14ac:dyDescent="0.25">
      <c r="H11" s="222"/>
    </row>
    <row r="12" spans="1:9" x14ac:dyDescent="0.25">
      <c r="A12" s="401" t="s">
        <v>162</v>
      </c>
      <c r="B12" s="401"/>
      <c r="C12" s="401"/>
      <c r="F12" s="61">
        <f>[8]summary!$N$20</f>
        <v>80828.557943143052</v>
      </c>
      <c r="G12" s="354"/>
      <c r="H12" s="98"/>
    </row>
    <row r="13" spans="1:9" x14ac:dyDescent="0.25">
      <c r="F13" s="61"/>
      <c r="H13" s="98"/>
    </row>
    <row r="14" spans="1:9" x14ac:dyDescent="0.25">
      <c r="A14" s="401" t="s">
        <v>206</v>
      </c>
      <c r="B14" s="402"/>
      <c r="C14" s="402"/>
      <c r="D14" s="402"/>
      <c r="F14" s="44">
        <f>SUM([5]detail!$AT$90+[5]detail!$AT$95)/1000</f>
        <v>15993.688411538462</v>
      </c>
      <c r="G14" s="411"/>
      <c r="H14" s="411"/>
    </row>
    <row r="15" spans="1:9" x14ac:dyDescent="0.25">
      <c r="H15" s="256"/>
    </row>
    <row r="16" spans="1:9" ht="20.25" customHeight="1" thickBot="1" x14ac:dyDescent="0.3">
      <c r="A16" s="395" t="s">
        <v>92</v>
      </c>
      <c r="B16" s="395"/>
      <c r="C16" s="395"/>
      <c r="D16" s="395"/>
      <c r="F16" s="84">
        <f>F12+F14</f>
        <v>96822.246354681512</v>
      </c>
      <c r="H16" s="76"/>
    </row>
    <row r="17" spans="1:8" ht="20.25" customHeight="1" thickTop="1" x14ac:dyDescent="0.25">
      <c r="A17" s="28"/>
      <c r="B17" s="28"/>
      <c r="C17" s="28"/>
      <c r="D17" s="28"/>
      <c r="F17" s="78"/>
      <c r="H17" s="76"/>
    </row>
    <row r="18" spans="1:8" ht="20.25" customHeight="1" x14ac:dyDescent="0.25">
      <c r="A18" s="28"/>
      <c r="B18" s="28"/>
      <c r="C18" s="28"/>
      <c r="D18" s="28"/>
      <c r="F18" s="78"/>
      <c r="H18" s="76"/>
    </row>
    <row r="19" spans="1:8" x14ac:dyDescent="0.25">
      <c r="A19" s="401" t="s">
        <v>255</v>
      </c>
      <c r="B19" s="402"/>
      <c r="C19" s="402"/>
      <c r="D19" s="402"/>
      <c r="E19" s="402"/>
      <c r="F19" s="402"/>
      <c r="H19" s="31"/>
    </row>
    <row r="20" spans="1:8" x14ac:dyDescent="0.25">
      <c r="A20" s="401" t="s">
        <v>306</v>
      </c>
      <c r="B20" s="402"/>
      <c r="C20" s="402"/>
      <c r="D20" s="402"/>
      <c r="E20" s="402"/>
      <c r="F20" s="402"/>
      <c r="G20" s="114"/>
    </row>
    <row r="22" spans="1:8" x14ac:dyDescent="0.25">
      <c r="A22" s="9" t="s">
        <v>238</v>
      </c>
    </row>
    <row r="23" spans="1:8" x14ac:dyDescent="0.25">
      <c r="B23" s="333" t="s">
        <v>307</v>
      </c>
      <c r="C23" s="399" t="s">
        <v>299</v>
      </c>
      <c r="D23" s="399"/>
      <c r="E23" s="2" t="s">
        <v>243</v>
      </c>
    </row>
    <row r="24" spans="1:8" x14ac:dyDescent="0.25">
      <c r="B24" s="333" t="s">
        <v>307</v>
      </c>
      <c r="C24" s="399" t="s">
        <v>295</v>
      </c>
      <c r="D24" s="399"/>
      <c r="E24" s="2" t="s">
        <v>273</v>
      </c>
    </row>
  </sheetData>
  <mergeCells count="11">
    <mergeCell ref="G14:H14"/>
    <mergeCell ref="C23:D23"/>
    <mergeCell ref="C24:D24"/>
    <mergeCell ref="A20:F20"/>
    <mergeCell ref="A19:F19"/>
    <mergeCell ref="A16:D16"/>
    <mergeCell ref="A3:F3"/>
    <mergeCell ref="A5:F5"/>
    <mergeCell ref="A6:F6"/>
    <mergeCell ref="A12:C12"/>
    <mergeCell ref="A14:D14"/>
  </mergeCells>
  <phoneticPr fontId="2" type="noConversion"/>
  <pageMargins left="1" right="0.25" top="1.25" bottom="0.25" header="0.5" footer="0.5"/>
  <pageSetup scale="83" orientation="portrait" r:id="rId1"/>
  <headerFooter alignWithMargins="0">
    <oddHeader xml:space="preserve">&amp;R&amp;"Arial,Bold"&amp;14EXHIBIT P-3
SCHEDULE JMC-9
UPDATE-1  </oddHeader>
    <oddFooter xml:space="preserve">&amp;C&amp;K000000
</oddFooter>
  </headerFooter>
  <ignoredErrors>
    <ignoredError sqref="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17</vt:i4>
      </vt:variant>
    </vt:vector>
  </HeadingPairs>
  <TitlesOfParts>
    <vt:vector size="47" baseType="lpstr">
      <vt:lpstr>JMC - 1 (Rev. Req)</vt:lpstr>
      <vt:lpstr>JMC - 2 (Rate Base)</vt:lpstr>
      <vt:lpstr>JMC - 3 (WACC)</vt:lpstr>
      <vt:lpstr>JMC - 4 (Rev. Factor)</vt:lpstr>
      <vt:lpstr>JMC - 5 (Plant in Service)</vt:lpstr>
      <vt:lpstr>JMC - 6 (Plant Additions)</vt:lpstr>
      <vt:lpstr>JMC - 7 (Depreciation Reserve)</vt:lpstr>
      <vt:lpstr>JMC - 8 (Customer Advances)</vt:lpstr>
      <vt:lpstr>JMC - 9 (Inventory-Mat.&amp;Sup.)</vt:lpstr>
      <vt:lpstr>JMC - 10 (Prepayments)</vt:lpstr>
      <vt:lpstr>JMC - 11 (DFIT)</vt:lpstr>
      <vt:lpstr>JMC - 12 (Income Stmt)</vt:lpstr>
      <vt:lpstr>JMC - 13 (Operating Income)</vt:lpstr>
      <vt:lpstr>JMC - 14 (Wages - #1)</vt:lpstr>
      <vt:lpstr>JMC - 15 (Payroll Taxes - #2)</vt:lpstr>
      <vt:lpstr>JMC - 16 (Int. Sync. - #3)</vt:lpstr>
      <vt:lpstr>JMC - 17 (Pension-Fringes - #4)</vt:lpstr>
      <vt:lpstr>JMC - 18 (Assessment - #5)</vt:lpstr>
      <vt:lpstr>JMC - 19 (Incent. Margin - #6)</vt:lpstr>
      <vt:lpstr>JMC - 20 (Outside Service - #7)</vt:lpstr>
      <vt:lpstr>JMC- 21 (Depreciation - #8)</vt:lpstr>
      <vt:lpstr>JMC - 22 (SAVEGREEN - #9)</vt:lpstr>
      <vt:lpstr>JMC - 23 (RE Taxes - #10)</vt:lpstr>
      <vt:lpstr>JMC - 24 (Insurance - #11)</vt:lpstr>
      <vt:lpstr>JMC - 25 (Annual Review - #12)</vt:lpstr>
      <vt:lpstr>JMC - 26 (NEXT - #13)</vt:lpstr>
      <vt:lpstr>JMC - 27 (Revenue Adjust - #14)</vt:lpstr>
      <vt:lpstr>JMC - 28 (Rate Case Exp. - #15)</vt:lpstr>
      <vt:lpstr>JMC - 29 (Cap. Add. - #16)</vt:lpstr>
      <vt:lpstr>JMC - 30 (SRL - #17)</vt:lpstr>
      <vt:lpstr>'JMC - 1 (Rev. Req)'!Print_Area</vt:lpstr>
      <vt:lpstr>'JMC - 10 (Prepayments)'!Print_Area</vt:lpstr>
      <vt:lpstr>'JMC - 12 (Income Stmt)'!Print_Area</vt:lpstr>
      <vt:lpstr>'JMC - 13 (Operating Income)'!Print_Area</vt:lpstr>
      <vt:lpstr>'JMC - 16 (Int. Sync. - #3)'!Print_Area</vt:lpstr>
      <vt:lpstr>'JMC - 17 (Pension-Fringes - #4)'!Print_Area</vt:lpstr>
      <vt:lpstr>'JMC - 18 (Assessment - #5)'!Print_Area</vt:lpstr>
      <vt:lpstr>'JMC - 19 (Incent. Margin - #6)'!Print_Area</vt:lpstr>
      <vt:lpstr>'JMC - 20 (Outside Service - #7)'!Print_Area</vt:lpstr>
      <vt:lpstr>'JMC - 22 (SAVEGREEN - #9)'!Print_Area</vt:lpstr>
      <vt:lpstr>'JMC - 24 (Insurance - #11)'!Print_Area</vt:lpstr>
      <vt:lpstr>'JMC - 29 (Cap. Add. - #16)'!Print_Area</vt:lpstr>
      <vt:lpstr>'JMC - 5 (Plant in Service)'!Print_Area</vt:lpstr>
      <vt:lpstr>'JMC - 6 (Plant Additions)'!Print_Area</vt:lpstr>
      <vt:lpstr>'JMC - 7 (Depreciation Reserve)'!Print_Area</vt:lpstr>
      <vt:lpstr>'JMC - 9 (Inventory-Mat.&amp;Sup.)'!Print_Area</vt:lpstr>
      <vt:lpstr>'JMC- 21 (Depreciation - #8)'!Print_Area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Corcoran, James</dc:creator>
  <cp:lastModifiedBy>Corcoran James</cp:lastModifiedBy>
  <cp:lastPrinted>2021-07-09T17:17:23Z</cp:lastPrinted>
  <dcterms:created xsi:type="dcterms:W3CDTF">2007-07-13T12:51:12Z</dcterms:created>
  <dcterms:modified xsi:type="dcterms:W3CDTF">2021-07-09T17:23:53Z</dcterms:modified>
</cp:coreProperties>
</file>