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D4AEA6B0-3E1F-49B2-9051-1E63B0E5796E}"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6" l="1"/>
  <c r="AD88" i="20"/>
  <c r="AD56" i="20"/>
  <c r="O88" i="20"/>
  <c r="N88" i="20"/>
  <c r="O56" i="20"/>
  <c r="K88" i="20"/>
  <c r="J88" i="20"/>
  <c r="K56" i="20"/>
  <c r="J56" i="20"/>
  <c r="H88" i="20"/>
  <c r="H56" i="20"/>
  <c r="G56" i="20"/>
  <c r="AD78" i="20"/>
  <c r="AD45" i="20"/>
  <c r="O78" i="20"/>
  <c r="N78" i="20"/>
  <c r="O45" i="20"/>
  <c r="K78" i="20"/>
  <c r="J78" i="20"/>
  <c r="K45" i="20"/>
  <c r="J45" i="20"/>
  <c r="H78" i="20"/>
  <c r="H45" i="20"/>
  <c r="G78" i="20"/>
  <c r="F78" i="20"/>
  <c r="G45" i="20"/>
  <c r="AD68" i="20"/>
  <c r="AD34" i="20"/>
  <c r="O68" i="20"/>
  <c r="N68" i="20"/>
  <c r="O34" i="20"/>
  <c r="K34" i="20"/>
  <c r="K68" i="20"/>
  <c r="J68" i="20"/>
  <c r="J34" i="20"/>
  <c r="H68" i="20"/>
  <c r="H34" i="20"/>
  <c r="G68" i="20"/>
  <c r="F68" i="20"/>
  <c r="G34"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<sst xmlns="http://schemas.openxmlformats.org/spreadsheetml/2006/main" count="17429" uniqueCount="332">
  <si>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</si>
  <si>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</si>
  <si>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</si>
  <si>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</si>
  <si>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</si>
  <si>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</si>
  <si>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</si>
  <si>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</si>
  <si>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</si>
  <si>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</si>
  <si>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</si>
  <si>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</si>
  <si>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</si>
  <si>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</si>
  <si>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</si>
  <si>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</si>
  <si>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</si>
  <si>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</si>
  <si>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</si>
  <si>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</si>
  <si>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</si>
  <si>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</si>
  <si>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</si>
  <si>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</si>
  <si>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</si>
  <si>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</si>
  <si>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</si>
  <si>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</si>
  <si>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</si>
  <si>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</si>
  <si>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</si>
  <si>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</si>
  <si>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</si>
  <si>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</si>
  <si>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</si>
  <si>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</si>
  <si>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</si>
  <si>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</si>
  <si>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</si>
  <si>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</si>
  <si>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</si>
  <si>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</si>
  <si>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</si>
  <si>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</si>
  <si>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</si>
  <si>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</si>
  <si>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</si>
  <si>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</si>
  <si>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</si>
  <si>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</si>
  <si>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</si>
  <si>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</si>
  <si>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</si>
  <si>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</si>
  <si>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</si>
  <si>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</si>
  <si>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</si>
  <si>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</si>
  <si>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</si>
  <si>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</si>
  <si>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</si>
  <si>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</si>
  <si>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</si>
  <si>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</si>
  <si>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</si>
  <si>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</si>
  <si>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</si>
  <si>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</si>
  <si>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</si>
  <si>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</si>
  <si>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</si>
  <si>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</si>
  <si>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</si>
  <si>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</si>
  <si>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</si>
  <si>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</si>
  <si>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</si>
  <si>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</si>
  <si>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</si>
  <si>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</si>
  <si>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</si>
  <si>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</si>
  <si>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</si>
  <si>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</si>
  <si>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</si>
  <si>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</si>
  <si>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</si>
  <si>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</si>
  <si>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</si>
  <si>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</si>
  <si>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</si>
  <si>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</si>
  <si>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</si>
  <si>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</si>
  <si>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</si>
  <si>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</si>
  <si>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</si>
  <si>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</si>
  <si>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</si>
  <si>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</si>
  <si>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</si>
  <si>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</si>
  <si>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</si>
  <si>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</si>
  <si>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</si>
  <si>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</si>
  <si>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</si>
  <si>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</si>
  <si>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</si>
  <si>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</si>
  <si>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</si>
  <si>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</si>
  <si>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</si>
  <si>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</si>
  <si>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</si>
  <si>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</si>
  <si>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</si>
  <si>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</si>
  <si>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</si>
  <si>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</si>
  <si>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</si>
  <si>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</si>
  <si>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</si>
  <si>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</si>
  <si>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</si>
  <si>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</si>
  <si>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</si>
  <si>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</si>
  <si>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</si>
  <si>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</si>
  <si>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</si>
  <si>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</si>
  <si>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</si>
  <si>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</si>
  <si>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</si>
  <si>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</si>
  <si>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</si>
  <si>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</si>
  <si>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</si>
  <si>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</si>
  <si>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</si>
  <si>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</si>
  <si>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</si>
  <si>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</si>
  <si>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</si>
  <si>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</si>
  <si>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</si>
  <si>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</si>
  <si>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</si>
  <si>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</si>
  <si>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</si>
  <si>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</si>
  <si>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</si>
  <si>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</si>
  <si>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</si>
  <si>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</si>
  <si>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</si>
  <si>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</si>
  <si>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</si>
  <si>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</si>
  <si>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</si>
  <si>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</si>
  <si>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</si>
  <si>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</si>
  <si>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</si>
  <si>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</si>
  <si>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</si>
  <si>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</si>
  <si>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</si>
  <si>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</si>
  <si>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</si>
  <si>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</si>
  <si>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</si>
  <si>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</si>
  <si>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</si>
  <si>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</si>
  <si>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</si>
  <si>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</si>
  <si>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</si>
  <si>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</si>
  <si>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</si>
  <si>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</si>
  <si>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</si>
  <si>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</si>
  <si>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</si>
  <si>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</si>
  <si>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</si>
  <si>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</si>
  <si>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</si>
  <si>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</si>
  <si>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</si>
  <si>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</si>
  <si>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</si>
  <si>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</si>
  <si>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</si>
  <si>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</si>
  <si>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</si>
  <si>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</si>
  <si>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</si>
  <si>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</si>
  <si>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</si>
  <si>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</si>
  <si>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</si>
  <si>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</si>
  <si>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</si>
  <si>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</si>
  <si>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</si>
  <si>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</si>
  <si>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</si>
  <si>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</si>
  <si>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</si>
  <si>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</si>
  <si>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</si>
  <si>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</si>
  <si>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</si>
  <si>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</si>
  <si>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</si>
  <si>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</si>
  <si>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</si>
  <si>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</si>
  <si>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</si>
  <si>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</si>
  <si>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</si>
  <si>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</si>
  <si>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</si>
  <si>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</si>
  <si>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</si>
  <si>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</si>
  <si>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</si>
  <si>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</si>
  <si>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</si>
  <si>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</si>
  <si>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</si>
  <si>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</si>
  <si>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</si>
  <si>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</si>
  <si>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</si>
  <si>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</si>
  <si>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</si>
  <si>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</si>
  <si>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</si>
  <si>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</si>
  <si>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</si>
  <si>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</si>
  <si>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</si>
  <si>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</si>
  <si>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</si>
  <si>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</si>
  <si>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</si>
  <si>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</si>
  <si>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</si>
  <si>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</si>
  <si>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</si>
  <si>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</si>
  <si>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</si>
  <si>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</si>
  <si>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</si>
  <si>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</si>
  <si>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</si>
  <si>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</si>
  <si>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</si>
  <si>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</si>
  <si>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</si>
  <si>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</si>
  <si>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</si>
  <si>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</si>
  <si>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</si>
  <si>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</si>
  <si>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</si>
  <si>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</si>
  <si>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</si>
  <si>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</si>
  <si>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</si>
  <si>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</si>
  <si>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</si>
  <si>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</si>
  <si>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</si>
  <si>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</si>
  <si>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</si>
  <si>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</si>
  <si>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</si>
  <si>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</si>
  <si>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</si>
  <si>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</si>
  <si>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</si>
  <si>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</si>
  <si>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</si>
  <si>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</si>
  <si>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</si>
  <si>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</si>
  <si>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</si>
  <si>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</si>
  <si>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</si>
  <si>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</si>
  <si>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</si>
  <si>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</si>
  <si>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</si>
  <si>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</si>
  <si>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</si>
  <si>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</si>
  <si>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</si>
  <si>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</si>
  <si>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</si>
  <si>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</si>
  <si>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</si>
  <si>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</si>
  <si>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</si>
  <si>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</si>
  <si>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</si>
  <si>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</si>
  <si>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</si>
  <si>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</si>
  <si>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</si>
  <si>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</si>
  <si>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</si>
  <si>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</si>
  <si>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</si>
  <si>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</si>
  <si>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Sep = Cycle 3 Period 2 which includes Jun, Jul and Aug quarterly usage.  Cycle 4 Period 3 which includes  Jun, Jul and Aug quarterly usage.  </t>
  </si>
  <si>
    <t>Sep-2022 Residential Number of Customers that Applied</t>
  </si>
  <si>
    <t>Sep-2021 Residential Number of Customers that Applied</t>
  </si>
  <si>
    <t>Sep-2019 Residential Number of Customers that Applied</t>
  </si>
  <si>
    <t>Sep-2022 Number of Residential Customers that Receive Assistance for Arrears</t>
  </si>
  <si>
    <t>Sep-2021 Number of Residential Customers that Receive Assistance for Arrears</t>
  </si>
  <si>
    <t>Sep-2019 Number of Residential Customers that Receive Assistance for Arrears</t>
  </si>
  <si>
    <t>Average Monthly Installment Amount (Per Customer)</t>
  </si>
  <si>
    <t>6.  Average monthly installment = Per customer - Initial month.</t>
  </si>
  <si>
    <t>5.  Water accrued interest suspended March 2020 to March 2022</t>
  </si>
  <si>
    <t>6.  Sewer accrued interest suspended  December 2021 to March 2022.</t>
  </si>
  <si>
    <t>7.  Much of the residential accrued interest recorded during trhe above #5 and #6 notes are prior to Marcxh 2020.</t>
  </si>
  <si>
    <t>The Number of Customers Charged Interest  (Estimated)</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</si>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</sst>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43" fontId="7" fillId="0" borderId="39" xfId="1" applyFont="1" applyBorder="1"/>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7620</xdr:rowOff>
    </xdr:from>
    <xdr:to>
      <xdr:col>9</xdr:col>
      <xdr:colOff>590551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0</xdr:col>
      <xdr:colOff>19050</xdr:colOff>
      <xdr:row>4</xdr:row>
      <xdr:rowOff>179069</xdr:rowOff>
    </xdr:from>
    <xdr:to>
      <xdr:col>9</xdr:col>
      <xdr:colOff>590550</xdr:colOff>
      <xdr:row>55</xdr:row>
      <xdr:rowOff>17145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0</xdr:col>
      <xdr:colOff>49530</xdr:colOff>
      <xdr:row>55</xdr:row>
      <xdr:rowOff>60959</xdr:rowOff>
    </xdr:from>
    <xdr:to>
      <xdr:col>9</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0</xdr:col>
      <xdr:colOff>59054</xdr:colOff>
      <xdr:row>105</xdr:row>
      <xdr:rowOff>57149</xdr:rowOff>
    </xdr:from>
    <xdr:to>
      <xdr:col>9</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0</xdr:col>
      <xdr:colOff>20955</xdr:colOff>
      <xdr:row>155</xdr:row>
      <xdr:rowOff>114299</xdr:rowOff>
    </xdr:from>
    <xdr:to>
      <xdr:col>10</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22</xdr:col>
      <xdr:colOff>1</xdr:colOff>
      <xdr:row>104</xdr:row>
      <xdr:rowOff>152400</xdr:rowOff>
    </xdr:from>
    <xdr:to>
      <xdr:col>32</xdr:col>
      <xdr:colOff>47626</xdr:colOff>
      <xdr:row>155</xdr:row>
      <xdr:rowOff>1905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706351" y="18973800"/>
          <a:ext cx="6143625" cy="9079230"/>
        </a:xfrm>
        <a:prstGeom prst="rect">
          <a:avLst/>
        </a:prstGeom>
      </xdr:spPr>
    </xdr:pic>
    <xdr:clientData/>
  </xdr:twoCellAnchor>
  <xdr:twoCellAnchor editAs="oneCell">
    <xdr:from>
      <xdr:col>21</xdr:col>
      <xdr:colOff>255269</xdr:colOff>
      <xdr:row>154</xdr:row>
      <xdr:rowOff>156209</xdr:rowOff>
    </xdr:from>
    <xdr:to>
      <xdr:col>32</xdr:col>
      <xdr:colOff>45720</xdr:colOff>
      <xdr:row>204</xdr:row>
      <xdr:rowOff>152400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704444" y="28026359"/>
          <a:ext cx="6143626" cy="9044941"/>
        </a:xfrm>
        <a:prstGeom prst="rect">
          <a:avLst/>
        </a:prstGeom>
      </xdr:spPr>
    </xdr:pic>
    <xdr:clientData/>
  </xdr:twoCellAnchor>
  <xdr:twoCellAnchor editAs="oneCell">
    <xdr:from>
      <xdr:col>11</xdr:col>
      <xdr:colOff>34290</xdr:colOff>
      <xdr:row>5</xdr:row>
      <xdr:rowOff>13334</xdr:rowOff>
    </xdr:from>
    <xdr:to>
      <xdr:col>20</xdr:col>
      <xdr:colOff>598170</xdr:colOff>
      <xdr:row>55</xdr:row>
      <xdr:rowOff>38100</xdr:rowOff>
    </xdr:to>
    <xdr:pic>
      <xdr:nvPicPr>
        <xdr:cNvPr id="3" name="Picture 2">
          <a:extLst>
            <a:ext uri="{FF2B5EF4-FFF2-40B4-BE49-F238E27FC236}">
              <a16:creationId xmlns:a16="http://schemas.microsoft.com/office/drawing/2014/main" id="{6F60F90F-4267-9417-ACBB-9AE6E8EB7F3E}"/>
            </a:ext>
          </a:extLst>
        </xdr:cNvPr>
        <xdr:cNvPicPr>
          <a:picLocks noChangeAspect="1"/>
        </xdr:cNvPicPr>
      </xdr:nvPicPr>
      <xdr:blipFill rotWithShape="1">
        <a:blip xmlns:r="http://schemas.openxmlformats.org/officeDocument/2006/relationships" r:embed="rId13"/>
        <a:srcRect l="32393" t="11439" r="31199"/>
        <a:stretch/>
      </xdr:blipFill>
      <xdr:spPr>
        <a:xfrm>
          <a:off x="6387465" y="918209"/>
          <a:ext cx="6050280" cy="9073516"/>
        </a:xfrm>
        <a:prstGeom prst="rect">
          <a:avLst/>
        </a:prstGeom>
      </xdr:spPr>
    </xdr:pic>
    <xdr:clientData/>
  </xdr:twoCellAnchor>
  <xdr:twoCellAnchor editAs="oneCell">
    <xdr:from>
      <xdr:col>11</xdr:col>
      <xdr:colOff>19051</xdr:colOff>
      <xdr:row>55</xdr:row>
      <xdr:rowOff>15240</xdr:rowOff>
    </xdr:from>
    <xdr:to>
      <xdr:col>20</xdr:col>
      <xdr:colOff>571501</xdr:colOff>
      <xdr:row>104</xdr:row>
      <xdr:rowOff>161925</xdr:rowOff>
    </xdr:to>
    <xdr:pic>
      <xdr:nvPicPr>
        <xdr:cNvPr id="4" name="Picture 3">
          <a:extLst>
            <a:ext uri="{FF2B5EF4-FFF2-40B4-BE49-F238E27FC236}">
              <a16:creationId xmlns:a16="http://schemas.microsoft.com/office/drawing/2014/main" id="{D1BBE581-7C52-49F5-3F33-548C847DFB99}"/>
            </a:ext>
          </a:extLst>
        </xdr:cNvPr>
        <xdr:cNvPicPr>
          <a:picLocks noChangeAspect="1"/>
        </xdr:cNvPicPr>
      </xdr:nvPicPr>
      <xdr:blipFill rotWithShape="1">
        <a:blip xmlns:r="http://schemas.openxmlformats.org/officeDocument/2006/relationships" r:embed="rId14"/>
        <a:srcRect l="32451" t="11677" r="31346"/>
        <a:stretch/>
      </xdr:blipFill>
      <xdr:spPr>
        <a:xfrm>
          <a:off x="6372226" y="9968865"/>
          <a:ext cx="6038850" cy="9014460"/>
        </a:xfrm>
        <a:prstGeom prst="rect">
          <a:avLst/>
        </a:prstGeom>
      </xdr:spPr>
    </xdr:pic>
    <xdr:clientData/>
  </xdr:twoCellAnchor>
  <xdr:twoCellAnchor editAs="oneCell">
    <xdr:from>
      <xdr:col>11</xdr:col>
      <xdr:colOff>22859</xdr:colOff>
      <xdr:row>104</xdr:row>
      <xdr:rowOff>163830</xdr:rowOff>
    </xdr:from>
    <xdr:to>
      <xdr:col>21</xdr:col>
      <xdr:colOff>15240</xdr:colOff>
      <xdr:row>155</xdr:row>
      <xdr:rowOff>9525</xdr:rowOff>
    </xdr:to>
    <xdr:pic>
      <xdr:nvPicPr>
        <xdr:cNvPr id="5" name="Picture 4">
          <a:extLst>
            <a:ext uri="{FF2B5EF4-FFF2-40B4-BE49-F238E27FC236}">
              <a16:creationId xmlns:a16="http://schemas.microsoft.com/office/drawing/2014/main" id="{BE3B89B9-C793-8E12-35C0-5F1211EE7302}"/>
            </a:ext>
          </a:extLst>
        </xdr:cNvPr>
        <xdr:cNvPicPr>
          <a:picLocks noChangeAspect="1"/>
        </xdr:cNvPicPr>
      </xdr:nvPicPr>
      <xdr:blipFill rotWithShape="1">
        <a:blip xmlns:r="http://schemas.openxmlformats.org/officeDocument/2006/relationships" r:embed="rId15"/>
        <a:srcRect l="32274" t="12230" r="31237" b="1154"/>
        <a:stretch/>
      </xdr:blipFill>
      <xdr:spPr>
        <a:xfrm>
          <a:off x="6376034" y="18985230"/>
          <a:ext cx="6088381" cy="9075420"/>
        </a:xfrm>
        <a:prstGeom prst="rect">
          <a:avLst/>
        </a:prstGeom>
      </xdr:spPr>
    </xdr:pic>
    <xdr:clientData/>
  </xdr:twoCellAnchor>
  <xdr:twoCellAnchor editAs="oneCell">
    <xdr:from>
      <xdr:col>11</xdr:col>
      <xdr:colOff>36194</xdr:colOff>
      <xdr:row>154</xdr:row>
      <xdr:rowOff>152399</xdr:rowOff>
    </xdr:from>
    <xdr:to>
      <xdr:col>20</xdr:col>
      <xdr:colOff>598170</xdr:colOff>
      <xdr:row>204</xdr:row>
      <xdr:rowOff>142874</xdr:rowOff>
    </xdr:to>
    <xdr:pic>
      <xdr:nvPicPr>
        <xdr:cNvPr id="7" name="Picture 6">
          <a:extLst>
            <a:ext uri="{FF2B5EF4-FFF2-40B4-BE49-F238E27FC236}">
              <a16:creationId xmlns:a16="http://schemas.microsoft.com/office/drawing/2014/main" id="{86E2F1FE-6FEA-2819-6197-4ABEDC8B5A46}"/>
            </a:ext>
          </a:extLst>
        </xdr:cNvPr>
        <xdr:cNvPicPr>
          <a:picLocks noChangeAspect="1"/>
        </xdr:cNvPicPr>
      </xdr:nvPicPr>
      <xdr:blipFill rotWithShape="1">
        <a:blip xmlns:r="http://schemas.openxmlformats.org/officeDocument/2006/relationships" r:embed="rId16"/>
        <a:srcRect l="32289" t="11631" r="31198" b="673"/>
        <a:stretch/>
      </xdr:blipFill>
      <xdr:spPr>
        <a:xfrm>
          <a:off x="6389369" y="28022549"/>
          <a:ext cx="6048376" cy="9039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44805</v>
      </c>
      <c r="B4" s="1"/>
      <c r="C4" s="1"/>
      <c r="D4" s="1"/>
      <c r="E4" s="1"/>
    </row>
    <row r="5" spans="1:5" x14ac:dyDescent="0.3">
      <c r="A5" s="225">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activeCell="L157" sqref="L157"/>
    </sheetView>
  </sheetViews>
  <sheetFormatPr defaultRowHeight="14.4" x14ac:dyDescent="0.3"/>
  <cols>
    <col min="11" max="11" width="3.77734375" customWidth="1"/>
    <col min="12" max="21" width="8.886718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2022</v>
      </c>
      <c r="B3" s="334"/>
      <c r="C3" s="334"/>
      <c r="D3" s="334"/>
      <c r="E3" s="334"/>
      <c r="F3" s="334"/>
      <c r="G3" s="334"/>
      <c r="H3" s="334"/>
      <c r="I3" s="334"/>
      <c r="J3" s="334"/>
      <c r="L3" s="334">
        <v>2021</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AD89" sqref="AD8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9" t="s">
        <v>218</v>
      </c>
      <c r="AA7" s="230"/>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9" t="s">
        <v>219</v>
      </c>
      <c r="B9" s="259"/>
      <c r="C9" s="259"/>
      <c r="D9" s="259"/>
      <c r="E9" s="259"/>
      <c r="F9" s="259"/>
      <c r="G9" s="259"/>
      <c r="H9" s="259"/>
      <c r="I9" s="259"/>
      <c r="J9" s="259"/>
      <c r="K9" s="259"/>
      <c r="L9" s="259"/>
      <c r="M9" s="217"/>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0"/>
      <c r="R13" s="205"/>
      <c r="S13" s="205"/>
      <c r="T13" s="205"/>
      <c r="U13" s="205"/>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0"/>
      <c r="R14" s="205"/>
      <c r="S14" s="205"/>
      <c r="T14" s="205"/>
      <c r="U14" s="205"/>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0"/>
      <c r="R15" s="205"/>
      <c r="S15" s="205"/>
      <c r="T15" s="205"/>
      <c r="U15" s="205"/>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0"/>
      <c r="R16" s="205"/>
      <c r="S16" s="205"/>
      <c r="T16" s="205"/>
      <c r="U16" s="205"/>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0"/>
      <c r="R17" s="205"/>
      <c r="S17" s="205"/>
      <c r="T17" s="205"/>
      <c r="U17" s="205"/>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0"/>
      <c r="R18" s="205"/>
      <c r="S18" s="205"/>
      <c r="T18" s="205"/>
      <c r="U18" s="205"/>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0"/>
      <c r="R19" s="205"/>
      <c r="S19" s="205"/>
      <c r="T19" s="205"/>
      <c r="U19" s="205"/>
      <c r="V19" s="4"/>
      <c r="W19" s="4"/>
      <c r="X19" s="4"/>
      <c r="Z19" s="231"/>
      <c r="AA19" s="232"/>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1"/>
      <c r="O20" s="232"/>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1"/>
      <c r="O21" s="232"/>
      <c r="Q21" s="210"/>
      <c r="R21" s="205"/>
      <c r="S21" s="205"/>
      <c r="T21" s="205"/>
      <c r="U21" s="205"/>
      <c r="V21" s="4"/>
      <c r="W21" s="4"/>
      <c r="X21" s="4"/>
      <c r="Z21" s="257"/>
      <c r="AA21" s="258"/>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44805</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138729000</v>
      </c>
      <c r="G34" s="168">
        <f>72000+39936000</f>
        <v>40008000</v>
      </c>
      <c r="H34" s="168">
        <f>136614000*0.75</f>
        <v>102460500</v>
      </c>
      <c r="I34" s="168" t="s">
        <v>217</v>
      </c>
      <c r="J34" s="168">
        <f>161065.31+225+584249.19</f>
        <v>745539.5</v>
      </c>
      <c r="K34" s="168">
        <f>120+381.6+115336.65+212338</f>
        <v>328176.25</v>
      </c>
      <c r="L34" s="168">
        <v>356238</v>
      </c>
      <c r="M34" s="168">
        <v>137024</v>
      </c>
      <c r="N34" s="168">
        <v>4166</v>
      </c>
      <c r="O34" s="170">
        <f>4+3875</f>
        <v>3879</v>
      </c>
      <c r="Q34" s="168">
        <f>+J34/N34</f>
        <v>178.9581132981277</v>
      </c>
      <c r="R34" s="168">
        <f>+K34/O34</f>
        <v>84.603312709461207</v>
      </c>
      <c r="S34" s="168">
        <v>96.2</v>
      </c>
      <c r="T34" s="168">
        <v>125.4</v>
      </c>
      <c r="U34" s="171">
        <f>+F34/N34</f>
        <v>33300.288046087371</v>
      </c>
      <c r="V34" s="171">
        <f>+G34/O34</f>
        <v>10313.99845320959</v>
      </c>
      <c r="W34" s="168">
        <v>18000</v>
      </c>
      <c r="X34" s="168">
        <v>18000</v>
      </c>
      <c r="Z34" s="168">
        <v>1073715.75</v>
      </c>
      <c r="AA34" s="168">
        <v>889889.14</v>
      </c>
      <c r="AC34" s="171">
        <f>SUM(J34:K34)</f>
        <v>1073715.75</v>
      </c>
      <c r="AD34" s="171">
        <f>+Z34+195060</f>
        <v>1268775.75</v>
      </c>
      <c r="AE34" s="171">
        <f>+AD34</f>
        <v>1268775.75</v>
      </c>
      <c r="AF34" s="4"/>
      <c r="AG34" s="4"/>
    </row>
    <row r="35" spans="1:38" x14ac:dyDescent="0.25">
      <c r="A35" s="52"/>
      <c r="B35" s="11"/>
      <c r="C35" s="11"/>
      <c r="D35" s="11"/>
      <c r="E35" s="11"/>
      <c r="F35" s="168"/>
      <c r="G35" s="168"/>
      <c r="H35" s="168"/>
      <c r="I35" s="168"/>
      <c r="J35" s="168"/>
      <c r="K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138729000</v>
      </c>
      <c r="G42" s="166">
        <f t="shared" ref="G42:O42" si="0">SUM(G34:G41)</f>
        <v>40008000</v>
      </c>
      <c r="H42" s="166">
        <f t="shared" si="0"/>
        <v>102460500</v>
      </c>
      <c r="I42" s="166">
        <f t="shared" si="0"/>
        <v>0</v>
      </c>
      <c r="J42" s="166">
        <f t="shared" si="0"/>
        <v>745539.5</v>
      </c>
      <c r="K42" s="166">
        <f t="shared" si="0"/>
        <v>328176.25</v>
      </c>
      <c r="L42" s="166">
        <f t="shared" si="0"/>
        <v>356238</v>
      </c>
      <c r="M42" s="166">
        <f>SUM(M34:M41)</f>
        <v>137024</v>
      </c>
      <c r="N42" s="166">
        <f t="shared" si="0"/>
        <v>4166</v>
      </c>
      <c r="O42" s="166">
        <f t="shared" si="0"/>
        <v>3879</v>
      </c>
      <c r="Q42" s="166">
        <f>SUM(Q34:Q41)/1</f>
        <v>178.9581132981277</v>
      </c>
      <c r="R42" s="166">
        <f>SUM(R34:R41)/1</f>
        <v>84.603312709461207</v>
      </c>
      <c r="S42" s="166">
        <f>SUM(S34:S41)/1</f>
        <v>96.2</v>
      </c>
      <c r="T42" s="166">
        <f t="shared" ref="T42" si="1">SUM(T34:T41)</f>
        <v>125.4</v>
      </c>
      <c r="U42" s="166">
        <f t="shared" ref="U42" si="2">SUM(U34:U41)</f>
        <v>33300.288046087371</v>
      </c>
      <c r="V42" s="166">
        <f t="shared" ref="V42" si="3">SUM(V34:V41)</f>
        <v>10313.99845320959</v>
      </c>
      <c r="W42" s="166">
        <f t="shared" ref="W42" si="4">SUM(W34:W41)</f>
        <v>18000</v>
      </c>
      <c r="X42" s="166">
        <f t="shared" ref="X42" si="5">SUM(X34:X41)</f>
        <v>18000</v>
      </c>
      <c r="Z42" s="166">
        <f t="shared" ref="Z42:AE42" si="6">SUM(Z34:Z41)</f>
        <v>1073715.75</v>
      </c>
      <c r="AA42" s="166">
        <f t="shared" si="6"/>
        <v>889889.14</v>
      </c>
      <c r="AC42" s="166">
        <f t="shared" si="6"/>
        <v>1073715.75</v>
      </c>
      <c r="AD42" s="166">
        <f t="shared" si="6"/>
        <v>1268775.75</v>
      </c>
      <c r="AE42" s="166">
        <f t="shared" si="6"/>
        <v>1268775.75</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44440</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122886000</v>
      </c>
      <c r="G45" s="168">
        <f>68000+39547000</f>
        <v>39615000</v>
      </c>
      <c r="H45" s="168">
        <f>116278000*0.75</f>
        <v>87208500</v>
      </c>
      <c r="I45" s="168" t="s">
        <v>217</v>
      </c>
      <c r="J45" s="168">
        <f>156457.96+150+482335.99</f>
        <v>638943.94999999995</v>
      </c>
      <c r="K45" s="168">
        <f>120+360.4+114846.25+209509</f>
        <v>324835.65000000002</v>
      </c>
      <c r="L45" s="168">
        <v>329749</v>
      </c>
      <c r="M45" s="168">
        <v>150864</v>
      </c>
      <c r="N45" s="168">
        <v>4158</v>
      </c>
      <c r="O45" s="170">
        <f>4+3865</f>
        <v>3869</v>
      </c>
      <c r="Q45" s="168">
        <f>+J45/N45</f>
        <v>153.66617364117363</v>
      </c>
      <c r="R45" s="168">
        <f>+K45/O45</f>
        <v>83.958555182217637</v>
      </c>
      <c r="S45" s="168">
        <v>89.25</v>
      </c>
      <c r="T45" s="168">
        <v>120.01</v>
      </c>
      <c r="U45" s="171">
        <f>+F45/N45</f>
        <v>29554.112554112555</v>
      </c>
      <c r="V45" s="171">
        <f>+G45/O45</f>
        <v>10239.079865598345</v>
      </c>
      <c r="W45" s="168">
        <v>17000</v>
      </c>
      <c r="X45" s="168">
        <v>17000</v>
      </c>
      <c r="Z45" s="168">
        <v>963799.51</v>
      </c>
      <c r="AA45" s="168">
        <v>735624.83</v>
      </c>
      <c r="AC45" s="171">
        <f>SUM(J45:K45)</f>
        <v>963779.6</v>
      </c>
      <c r="AD45" s="171">
        <f>+Z45+97769</f>
        <v>1061568.51</v>
      </c>
      <c r="AE45" s="171">
        <f>+AD45</f>
        <v>1061568.51</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122886000</v>
      </c>
      <c r="G53" s="166">
        <f t="shared" ref="G53:N53" si="7">SUM(G45:G52)</f>
        <v>39615000</v>
      </c>
      <c r="H53" s="166">
        <f t="shared" si="7"/>
        <v>87208500</v>
      </c>
      <c r="I53" s="166">
        <f t="shared" si="7"/>
        <v>0</v>
      </c>
      <c r="J53" s="166">
        <f t="shared" si="7"/>
        <v>638943.94999999995</v>
      </c>
      <c r="K53" s="166">
        <f t="shared" si="7"/>
        <v>324835.65000000002</v>
      </c>
      <c r="L53" s="166">
        <f t="shared" si="7"/>
        <v>329749</v>
      </c>
      <c r="M53" s="166">
        <f t="shared" si="7"/>
        <v>150864</v>
      </c>
      <c r="N53" s="166">
        <f t="shared" si="7"/>
        <v>4158</v>
      </c>
      <c r="O53" s="166">
        <f t="shared" ref="O53" si="8">SUM(O45:O52)</f>
        <v>3869</v>
      </c>
      <c r="Q53" s="166">
        <f>SUM(Q45:Q52)/1</f>
        <v>153.66617364117363</v>
      </c>
      <c r="R53" s="166">
        <f>SUM(R45:R52)/1</f>
        <v>83.958555182217637</v>
      </c>
      <c r="S53" s="166">
        <f>SUM(S45:S52)/1</f>
        <v>89.25</v>
      </c>
      <c r="T53" s="166">
        <f t="shared" ref="T53" si="9">SUM(T45:T52)</f>
        <v>120.01</v>
      </c>
      <c r="U53" s="166">
        <f t="shared" ref="U53" si="10">SUM(U45:U52)</f>
        <v>29554.112554112555</v>
      </c>
      <c r="V53" s="166">
        <f t="shared" ref="V53" si="11">SUM(V45:V52)</f>
        <v>10239.079865598345</v>
      </c>
      <c r="W53" s="166">
        <f t="shared" ref="W53" si="12">SUM(W45:W52)</f>
        <v>17000</v>
      </c>
      <c r="X53" s="166">
        <f t="shared" ref="X53" si="13">SUM(X45:X52)</f>
        <v>17000</v>
      </c>
      <c r="Z53" s="166">
        <f t="shared" ref="Z53" si="14">SUM(Z45:Z52)</f>
        <v>963799.51</v>
      </c>
      <c r="AA53" s="166">
        <f t="shared" ref="AA53" si="15">SUM(AA45:AA52)</f>
        <v>735624.83</v>
      </c>
      <c r="AC53" s="166">
        <f t="shared" ref="AC53" si="16">SUM(AC45:AC52)</f>
        <v>963779.6</v>
      </c>
      <c r="AD53" s="166">
        <f t="shared" ref="AD53" si="17">SUM(AD45:AD52)</f>
        <v>1061568.51</v>
      </c>
      <c r="AE53" s="166">
        <f t="shared" ref="AE53" si="18">SUM(AE45:AE52)</f>
        <v>1061568.51</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43709</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110523000</v>
      </c>
      <c r="G56" s="168">
        <f>68000+37801000</f>
        <v>37869000</v>
      </c>
      <c r="H56" s="168">
        <f>133375*0.75</f>
        <v>100031.25</v>
      </c>
      <c r="I56" s="11"/>
      <c r="J56" s="168">
        <f>143020.7+150+392566.13</f>
        <v>535736.83000000007</v>
      </c>
      <c r="K56" s="168">
        <f>96.52+286+114076.54+196711.8</f>
        <v>311170.86</v>
      </c>
      <c r="L56" s="168">
        <v>253598</v>
      </c>
      <c r="M56" s="168">
        <v>101966</v>
      </c>
      <c r="N56" s="168">
        <v>4128</v>
      </c>
      <c r="O56" s="170">
        <f>4+3840</f>
        <v>3844</v>
      </c>
      <c r="Q56" s="168">
        <f>+J56/N56</f>
        <v>129.78120881782948</v>
      </c>
      <c r="R56" s="168">
        <f>+K56/O56</f>
        <v>80.949755463059304</v>
      </c>
      <c r="S56" s="168">
        <v>82.5</v>
      </c>
      <c r="T56" s="168">
        <v>118.4</v>
      </c>
      <c r="U56" s="171">
        <f>+F56/N56</f>
        <v>26773.982558139534</v>
      </c>
      <c r="V56" s="171">
        <f>+G56/O56</f>
        <v>9851.4568158168568</v>
      </c>
      <c r="W56" s="168">
        <v>17000</v>
      </c>
      <c r="X56" s="168">
        <v>17000</v>
      </c>
      <c r="Z56" s="168">
        <v>846908.09</v>
      </c>
      <c r="AA56" s="168">
        <v>709915.12</v>
      </c>
      <c r="AC56" s="171">
        <f>SUM(J56:K56)</f>
        <v>846907.69000000006</v>
      </c>
      <c r="AD56" s="171">
        <f>+Z56+109114</f>
        <v>956022.09</v>
      </c>
      <c r="AE56" s="171">
        <f>+AD56</f>
        <v>956022.09</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110523000</v>
      </c>
      <c r="G64" s="166">
        <f t="shared" ref="G64:O64" si="19">SUM(G56:G63)</f>
        <v>37869000</v>
      </c>
      <c r="H64" s="166">
        <f t="shared" si="19"/>
        <v>100031.25</v>
      </c>
      <c r="I64" s="166">
        <f t="shared" si="19"/>
        <v>0</v>
      </c>
      <c r="J64" s="166">
        <f t="shared" si="19"/>
        <v>535736.83000000007</v>
      </c>
      <c r="K64" s="166">
        <f t="shared" si="19"/>
        <v>311170.86</v>
      </c>
      <c r="L64" s="166">
        <f t="shared" si="19"/>
        <v>253598</v>
      </c>
      <c r="M64" s="166">
        <f t="shared" si="19"/>
        <v>101966</v>
      </c>
      <c r="N64" s="166">
        <f t="shared" si="19"/>
        <v>4128</v>
      </c>
      <c r="O64" s="166">
        <f t="shared" si="19"/>
        <v>3844</v>
      </c>
      <c r="Q64" s="166">
        <f>SUM(Q56:Q63)/1</f>
        <v>129.78120881782948</v>
      </c>
      <c r="R64" s="166">
        <f>SUM(R56:R63)/1</f>
        <v>80.949755463059304</v>
      </c>
      <c r="S64" s="166">
        <f t="shared" ref="S64:X64" si="20">SUM(S56:S63)</f>
        <v>82.5</v>
      </c>
      <c r="T64" s="166">
        <f t="shared" si="20"/>
        <v>118.4</v>
      </c>
      <c r="U64" s="166">
        <f t="shared" si="20"/>
        <v>26773.982558139534</v>
      </c>
      <c r="V64" s="166">
        <f t="shared" si="20"/>
        <v>9851.4568158168568</v>
      </c>
      <c r="W64" s="166">
        <f t="shared" si="20"/>
        <v>17000</v>
      </c>
      <c r="X64" s="166">
        <f t="shared" si="20"/>
        <v>17000</v>
      </c>
      <c r="Z64" s="166">
        <f t="shared" ref="Z64:AA64" si="21">SUM(Z56:Z63)</f>
        <v>846908.09</v>
      </c>
      <c r="AA64" s="166">
        <f t="shared" si="21"/>
        <v>709915.12</v>
      </c>
      <c r="AC64" s="166">
        <f t="shared" ref="AC64:AE64" si="22">SUM(AC56:AC63)</f>
        <v>846907.69000000006</v>
      </c>
      <c r="AD64" s="166">
        <f t="shared" si="22"/>
        <v>956022.09</v>
      </c>
      <c r="AE64" s="166">
        <f t="shared" si="22"/>
        <v>956022.09</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44805</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f>29899000+51994000</f>
        <v>81893000</v>
      </c>
      <c r="G68" s="168">
        <f>819000+16144000</f>
        <v>16963000</v>
      </c>
      <c r="H68" s="168">
        <f>136614000*0.25</f>
        <v>34153500</v>
      </c>
      <c r="I68" s="168" t="s">
        <v>217</v>
      </c>
      <c r="J68" s="168">
        <f>1091.44+1630.72+273+300+148+14454+907+180396+3784+6740+322227.3</f>
        <v>531951.46</v>
      </c>
      <c r="K68" s="172">
        <f>90+1110+4922.1+120+21180+112838</f>
        <v>140260.1</v>
      </c>
      <c r="L68" s="168">
        <v>118746</v>
      </c>
      <c r="M68" s="168">
        <v>45675</v>
      </c>
      <c r="N68" s="168">
        <f>28+46+2</f>
        <v>76</v>
      </c>
      <c r="O68" s="67">
        <f>12+1</f>
        <v>13</v>
      </c>
      <c r="Q68" s="168">
        <f>+J68/N68</f>
        <v>6999.3613157894733</v>
      </c>
      <c r="R68" s="168">
        <f>+K68/O68</f>
        <v>10789.238461538462</v>
      </c>
      <c r="S68" s="168">
        <v>96.2</v>
      </c>
      <c r="T68" s="168">
        <v>125.4</v>
      </c>
      <c r="U68" s="171">
        <f>+F68/N68</f>
        <v>1077539.4736842106</v>
      </c>
      <c r="V68" s="171">
        <f>+G68/O68</f>
        <v>1304846.1538461538</v>
      </c>
      <c r="W68" s="168">
        <v>18000</v>
      </c>
      <c r="X68" s="168">
        <v>18000</v>
      </c>
      <c r="Z68" s="168">
        <v>678842.88</v>
      </c>
      <c r="AA68" s="168">
        <v>74754.33</v>
      </c>
      <c r="AC68" s="171">
        <f>SUM(J68:K68)</f>
        <v>672211.55999999994</v>
      </c>
      <c r="AD68" s="171">
        <f>+Z68+65020</f>
        <v>743862.88</v>
      </c>
      <c r="AE68" s="171">
        <f>+AD68</f>
        <v>743862.88</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81893000</v>
      </c>
      <c r="G75" s="166">
        <f t="shared" ref="G75:M75" si="23">SUM(G68:G74)</f>
        <v>16963000</v>
      </c>
      <c r="H75" s="166">
        <f t="shared" si="23"/>
        <v>34153500</v>
      </c>
      <c r="I75" s="166">
        <f t="shared" si="23"/>
        <v>0</v>
      </c>
      <c r="J75" s="166">
        <f t="shared" si="23"/>
        <v>531951.46</v>
      </c>
      <c r="K75" s="166">
        <f t="shared" si="23"/>
        <v>140260.1</v>
      </c>
      <c r="L75" s="166">
        <f t="shared" si="23"/>
        <v>118746</v>
      </c>
      <c r="M75" s="166">
        <f t="shared" si="23"/>
        <v>45675</v>
      </c>
      <c r="N75" s="166">
        <f t="shared" ref="N75:O75" si="24">SUM(N68:N74)</f>
        <v>76</v>
      </c>
      <c r="O75" s="166">
        <f t="shared" si="24"/>
        <v>13</v>
      </c>
      <c r="Q75" s="166">
        <f>SUM(Q68:Q74)/1</f>
        <v>6999.3613157894733</v>
      </c>
      <c r="R75" s="166">
        <f>SUM(R68:R74)/1</f>
        <v>10789.238461538462</v>
      </c>
      <c r="S75" s="166">
        <f t="shared" ref="S75:X75" si="25">SUM(S68:S74)</f>
        <v>96.2</v>
      </c>
      <c r="T75" s="166">
        <f t="shared" si="25"/>
        <v>125.4</v>
      </c>
      <c r="U75" s="166">
        <f t="shared" si="25"/>
        <v>1077539.4736842106</v>
      </c>
      <c r="V75" s="166">
        <f t="shared" si="25"/>
        <v>1304846.1538461538</v>
      </c>
      <c r="W75" s="166">
        <f t="shared" si="25"/>
        <v>18000</v>
      </c>
      <c r="X75" s="166">
        <f t="shared" si="25"/>
        <v>18000</v>
      </c>
      <c r="Z75" s="166">
        <f t="shared" ref="Z75:AA75" si="26">SUM(Z68:Z74)</f>
        <v>678842.88</v>
      </c>
      <c r="AA75" s="166">
        <f t="shared" si="26"/>
        <v>74754.33</v>
      </c>
      <c r="AC75" s="166">
        <f t="shared" ref="AC75:AE75" si="27">SUM(AC68:AC74)</f>
        <v>672211.55999999994</v>
      </c>
      <c r="AD75" s="166">
        <f t="shared" si="27"/>
        <v>743862.88</v>
      </c>
      <c r="AE75" s="166">
        <f t="shared" si="27"/>
        <v>743862.88</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44440</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f>22588000+45513000</f>
        <v>68101000</v>
      </c>
      <c r="G78" s="168">
        <f>628000+20325000</f>
        <v>20953000</v>
      </c>
      <c r="H78" s="168">
        <f>116278000*0.25</f>
        <v>29069500</v>
      </c>
      <c r="I78" s="11"/>
      <c r="J78" s="168">
        <f>1063.44+1645+266+300+148+14454+907+135329.55+3784+6740+300484.4</f>
        <v>465121.39</v>
      </c>
      <c r="K78" s="168">
        <f>90+1110+3590.2+21180+142105</f>
        <v>168075.2</v>
      </c>
      <c r="L78" s="168">
        <v>109916</v>
      </c>
      <c r="M78" s="168">
        <v>50288</v>
      </c>
      <c r="N78" s="168">
        <f>28+46+3</f>
        <v>77</v>
      </c>
      <c r="O78" s="67">
        <f>12+1</f>
        <v>13</v>
      </c>
      <c r="Q78" s="168">
        <f>+J78/N78</f>
        <v>6040.5375324675324</v>
      </c>
      <c r="R78" s="168">
        <f>+K78/O78</f>
        <v>12928.861538461539</v>
      </c>
      <c r="S78" s="168">
        <v>89.25</v>
      </c>
      <c r="T78" s="168">
        <v>120.01</v>
      </c>
      <c r="U78" s="171">
        <f>+F78/N78</f>
        <v>884428.57142857148</v>
      </c>
      <c r="V78" s="171">
        <f>+G78/O78</f>
        <v>1611769.2307692308</v>
      </c>
      <c r="W78" s="168">
        <v>17000</v>
      </c>
      <c r="X78" s="168">
        <v>17000</v>
      </c>
      <c r="Z78" s="168">
        <v>639948</v>
      </c>
      <c r="AA78" s="168">
        <v>105556.45</v>
      </c>
      <c r="AC78" s="171">
        <f>SUM(J78:K78)</f>
        <v>633196.59000000008</v>
      </c>
      <c r="AD78" s="171">
        <f>+Z78+32590</f>
        <v>672538</v>
      </c>
      <c r="AE78" s="171">
        <f>+AD78</f>
        <v>672538</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68101000</v>
      </c>
      <c r="G85" s="166">
        <f t="shared" ref="G85:M85" si="28">SUM(G78:G84)</f>
        <v>20953000</v>
      </c>
      <c r="H85" s="166">
        <f t="shared" si="28"/>
        <v>29069500</v>
      </c>
      <c r="I85" s="166">
        <f t="shared" si="28"/>
        <v>0</v>
      </c>
      <c r="J85" s="166">
        <f t="shared" si="28"/>
        <v>465121.39</v>
      </c>
      <c r="K85" s="166">
        <f t="shared" si="28"/>
        <v>168075.2</v>
      </c>
      <c r="L85" s="166">
        <f t="shared" si="28"/>
        <v>109916</v>
      </c>
      <c r="M85" s="166">
        <f t="shared" si="28"/>
        <v>50288</v>
      </c>
      <c r="N85" s="166">
        <f t="shared" ref="N85:O85" si="29">SUM(N78:N84)</f>
        <v>77</v>
      </c>
      <c r="O85" s="166">
        <f t="shared" si="29"/>
        <v>13</v>
      </c>
      <c r="Q85" s="166">
        <f>SUM(Q78:Q84)/1</f>
        <v>6040.5375324675324</v>
      </c>
      <c r="R85" s="166">
        <f>SUM(R78:R84)/1</f>
        <v>12928.861538461539</v>
      </c>
      <c r="S85" s="166">
        <f t="shared" ref="S85:T85" si="30">SUM(S78:S84)/1</f>
        <v>89.25</v>
      </c>
      <c r="T85" s="166">
        <f t="shared" si="30"/>
        <v>120.01</v>
      </c>
      <c r="U85" s="166">
        <f t="shared" ref="U85:X85" si="31">SUM(U78:U84)</f>
        <v>884428.57142857148</v>
      </c>
      <c r="V85" s="166">
        <f t="shared" si="31"/>
        <v>1611769.2307692308</v>
      </c>
      <c r="W85" s="166">
        <f t="shared" si="31"/>
        <v>17000</v>
      </c>
      <c r="X85" s="166">
        <f t="shared" si="31"/>
        <v>17000</v>
      </c>
      <c r="Z85" s="166">
        <f t="shared" ref="Z85:AA85" si="32">SUM(Z78:Z84)</f>
        <v>639948</v>
      </c>
      <c r="AA85" s="166">
        <f t="shared" si="32"/>
        <v>105556.45</v>
      </c>
      <c r="AC85" s="166">
        <f t="shared" ref="AC85:AE85" si="33">SUM(AC78:AC84)</f>
        <v>633196.59000000008</v>
      </c>
      <c r="AD85" s="166">
        <f t="shared" si="33"/>
        <v>672538</v>
      </c>
      <c r="AE85" s="166">
        <f t="shared" si="33"/>
        <v>672538</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43709</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201</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21186000</v>
      </c>
      <c r="G88" s="168">
        <v>903000</v>
      </c>
      <c r="H88" s="168">
        <f>133375*0.25</f>
        <v>33343.75</v>
      </c>
      <c r="I88" s="11"/>
      <c r="J88" s="168">
        <f>979.72+2291.52+245+300+148+14454+907+119216.2</f>
        <v>138541.44</v>
      </c>
      <c r="K88" s="168">
        <f>90+1110+5460.6+96.52+286+114076.94</f>
        <v>121120.06</v>
      </c>
      <c r="L88" s="168">
        <v>84533</v>
      </c>
      <c r="M88" s="168">
        <v>33989</v>
      </c>
      <c r="N88" s="11">
        <f>28+46</f>
        <v>74</v>
      </c>
      <c r="O88" s="67">
        <f>12</f>
        <v>12</v>
      </c>
      <c r="Q88" s="168">
        <f>+J88/N88</f>
        <v>1872.1816216216216</v>
      </c>
      <c r="R88" s="168">
        <f>+K88/O88</f>
        <v>10093.338333333333</v>
      </c>
      <c r="S88" s="168">
        <v>82.5</v>
      </c>
      <c r="T88" s="168">
        <v>118.4</v>
      </c>
      <c r="U88" s="171">
        <f>+F88/N88</f>
        <v>286297.29729729728</v>
      </c>
      <c r="V88" s="171">
        <f>+G88/O88</f>
        <v>75250</v>
      </c>
      <c r="W88" s="168">
        <v>17000</v>
      </c>
      <c r="X88" s="168">
        <v>17000</v>
      </c>
      <c r="Z88" s="168">
        <v>146288.87</v>
      </c>
      <c r="AA88" s="168">
        <v>159054.89000000001</v>
      </c>
      <c r="AC88" s="171">
        <f>SUM(J88:K88)</f>
        <v>259661.5</v>
      </c>
      <c r="AD88" s="171">
        <f>+Z88+36371</f>
        <v>182659.87</v>
      </c>
      <c r="AE88" s="171">
        <f>+AD88</f>
        <v>182659.87</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21186000</v>
      </c>
      <c r="G95" s="166">
        <f t="shared" ref="G95:M95" si="34">SUM(G88:G94)</f>
        <v>903000</v>
      </c>
      <c r="H95" s="166">
        <f t="shared" si="34"/>
        <v>33343.75</v>
      </c>
      <c r="I95" s="166">
        <f t="shared" si="34"/>
        <v>0</v>
      </c>
      <c r="J95" s="166">
        <f t="shared" si="34"/>
        <v>138541.44</v>
      </c>
      <c r="K95" s="166">
        <f t="shared" si="34"/>
        <v>121120.06</v>
      </c>
      <c r="L95" s="166">
        <f t="shared" si="34"/>
        <v>84533</v>
      </c>
      <c r="M95" s="166">
        <f t="shared" si="34"/>
        <v>33989</v>
      </c>
      <c r="N95" s="166">
        <f t="shared" ref="N95:O95" si="35">SUM(N88:N94)</f>
        <v>74</v>
      </c>
      <c r="O95" s="166">
        <f t="shared" si="35"/>
        <v>12</v>
      </c>
      <c r="Q95" s="166">
        <f>SUM(Q88:Q94)/1</f>
        <v>1872.1816216216216</v>
      </c>
      <c r="R95" s="166">
        <f>SUM(R88:R94)/1</f>
        <v>10093.338333333333</v>
      </c>
      <c r="S95" s="166">
        <f t="shared" ref="S95:T95" si="36">SUM(S88:S94)/1</f>
        <v>82.5</v>
      </c>
      <c r="T95" s="166">
        <f t="shared" si="36"/>
        <v>118.4</v>
      </c>
      <c r="U95" s="166">
        <f t="shared" ref="U95:X95" si="37">SUM(U88:U94)</f>
        <v>286297.29729729728</v>
      </c>
      <c r="V95" s="166">
        <f t="shared" si="37"/>
        <v>75250</v>
      </c>
      <c r="W95" s="166">
        <f t="shared" si="37"/>
        <v>17000</v>
      </c>
      <c r="X95" s="166">
        <f t="shared" si="37"/>
        <v>17000</v>
      </c>
      <c r="Z95" s="166">
        <f t="shared" ref="Z95:AA95" si="38">SUM(Z88:Z94)</f>
        <v>146288.87</v>
      </c>
      <c r="AA95" s="166">
        <f t="shared" si="38"/>
        <v>159054.89000000001</v>
      </c>
      <c r="AC95" s="166">
        <f t="shared" ref="AC95:AE95" si="39">SUM(AC88:AC94)</f>
        <v>259661.5</v>
      </c>
      <c r="AD95" s="166">
        <f t="shared" si="39"/>
        <v>182659.87</v>
      </c>
      <c r="AE95" s="166">
        <f t="shared" si="39"/>
        <v>182659.87</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4" t="s">
        <v>15</v>
      </c>
      <c r="L2" s="285"/>
      <c r="M2" s="9"/>
      <c r="N2" s="9"/>
      <c r="O2" s="284" t="s">
        <v>105</v>
      </c>
      <c r="P2" s="293"/>
      <c r="Q2" s="285"/>
      <c r="R2" s="9"/>
      <c r="S2" s="9"/>
      <c r="T2" s="9"/>
    </row>
    <row r="3" spans="1:20" x14ac:dyDescent="0.3">
      <c r="A3" s="121" t="s">
        <v>10</v>
      </c>
      <c r="B3" s="49"/>
      <c r="C3" s="49"/>
      <c r="D3" s="122"/>
      <c r="E3" s="4"/>
      <c r="F3" s="4"/>
      <c r="G3" s="4"/>
      <c r="H3" s="9"/>
      <c r="I3" s="4"/>
      <c r="K3" s="286"/>
      <c r="L3" s="287"/>
      <c r="M3" s="9"/>
      <c r="N3" s="9"/>
      <c r="O3" s="286"/>
      <c r="P3" s="294"/>
      <c r="Q3" s="287"/>
      <c r="R3" s="9"/>
      <c r="S3" s="9"/>
      <c r="T3" s="9"/>
    </row>
    <row r="4" spans="1:20" x14ac:dyDescent="0.3">
      <c r="A4" s="123" t="s">
        <v>11</v>
      </c>
      <c r="B4" s="50"/>
      <c r="C4" s="50"/>
      <c r="D4" s="124"/>
      <c r="E4" s="4"/>
      <c r="F4" s="4"/>
      <c r="G4" s="4"/>
      <c r="H4" s="9"/>
      <c r="I4" s="4"/>
      <c r="K4" s="286"/>
      <c r="L4" s="287"/>
      <c r="M4" s="9"/>
      <c r="N4" s="9"/>
      <c r="O4" s="286"/>
      <c r="P4" s="294"/>
      <c r="Q4" s="287"/>
      <c r="R4" s="9"/>
      <c r="S4" s="9"/>
      <c r="T4" s="9"/>
    </row>
    <row r="5" spans="1:20" ht="15" thickBot="1" x14ac:dyDescent="0.35">
      <c r="A5" s="123" t="s">
        <v>12</v>
      </c>
      <c r="B5" s="50"/>
      <c r="C5" s="50"/>
      <c r="D5" s="124"/>
      <c r="E5" s="4"/>
      <c r="F5" s="50"/>
      <c r="G5" s="4"/>
      <c r="H5" s="9"/>
      <c r="I5" s="4"/>
      <c r="K5" s="288"/>
      <c r="L5" s="289"/>
      <c r="M5" s="9"/>
      <c r="N5" s="9"/>
      <c r="O5" s="286"/>
      <c r="P5" s="294"/>
      <c r="Q5" s="287"/>
      <c r="R5" s="9"/>
      <c r="S5" s="9"/>
      <c r="T5" s="9"/>
    </row>
    <row r="6" spans="1:20" ht="15" thickBot="1" x14ac:dyDescent="0.35">
      <c r="A6" s="123" t="s">
        <v>13</v>
      </c>
      <c r="B6" s="50"/>
      <c r="C6" s="50"/>
      <c r="D6" s="124"/>
      <c r="E6" s="4"/>
      <c r="F6" s="50"/>
      <c r="G6" s="4"/>
      <c r="H6" s="9"/>
      <c r="I6" s="9"/>
      <c r="J6" s="9"/>
      <c r="L6" s="9"/>
      <c r="M6" s="9"/>
      <c r="N6" s="9"/>
      <c r="O6" s="288"/>
      <c r="P6" s="295"/>
      <c r="Q6" s="289"/>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55" sqref="AR55"/>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49"/>
      <c r="AM20" s="307" t="s">
        <v>184</v>
      </c>
      <c r="AN20" s="308"/>
      <c r="AO20" s="308"/>
      <c r="AP20" s="308"/>
      <c r="AQ20" s="308"/>
      <c r="AR20" s="309"/>
      <c r="AS20" s="4"/>
      <c r="AT20" s="149"/>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44805</v>
      </c>
      <c r="B22" s="11" t="s">
        <v>195</v>
      </c>
      <c r="C22" s="11" t="s">
        <v>196</v>
      </c>
      <c r="D22" s="164" t="s">
        <v>216</v>
      </c>
      <c r="E22" s="11"/>
      <c r="F22" s="11"/>
      <c r="G22" s="11"/>
      <c r="H22" s="11"/>
      <c r="I22" s="11"/>
      <c r="J22" s="11"/>
      <c r="M22" s="168">
        <v>159608</v>
      </c>
      <c r="N22" s="168">
        <v>32206</v>
      </c>
      <c r="O22" s="168">
        <v>41927</v>
      </c>
      <c r="P22" s="168">
        <v>65987</v>
      </c>
      <c r="Q22" s="168">
        <v>17861</v>
      </c>
      <c r="R22" s="168">
        <v>420540</v>
      </c>
      <c r="S22" s="4"/>
      <c r="T22" s="4"/>
      <c r="U22" s="11"/>
      <c r="V22" s="11"/>
      <c r="W22" s="11"/>
      <c r="X22" s="11"/>
      <c r="Y22" s="11"/>
      <c r="Z22" s="11"/>
      <c r="AA22" s="4"/>
      <c r="AB22" s="11" t="s">
        <v>195</v>
      </c>
      <c r="AC22" s="11" t="s">
        <v>196</v>
      </c>
      <c r="AD22" s="164" t="s">
        <v>216</v>
      </c>
      <c r="AE22" s="21"/>
      <c r="AF22" s="21"/>
      <c r="AG22" s="21"/>
      <c r="AH22" s="21"/>
      <c r="AI22" s="21"/>
      <c r="AJ22" s="21"/>
      <c r="AK22" s="4"/>
      <c r="AL22" s="4"/>
      <c r="AM22" s="191">
        <v>31191</v>
      </c>
      <c r="AN22" s="191">
        <v>3003</v>
      </c>
      <c r="AO22" s="191">
        <v>-126</v>
      </c>
      <c r="AP22" s="191">
        <v>5767</v>
      </c>
      <c r="AQ22" s="191">
        <v>-675</v>
      </c>
      <c r="AR22" s="191">
        <v>168142</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159608</v>
      </c>
      <c r="N34" s="166">
        <f t="shared" si="1"/>
        <v>32206</v>
      </c>
      <c r="O34" s="166">
        <f t="shared" si="1"/>
        <v>41927</v>
      </c>
      <c r="P34" s="166">
        <f t="shared" si="1"/>
        <v>65987</v>
      </c>
      <c r="Q34" s="166">
        <f t="shared" si="1"/>
        <v>17861</v>
      </c>
      <c r="R34" s="166">
        <f t="shared" si="1"/>
        <v>420540</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31191</v>
      </c>
      <c r="AN34" s="167">
        <f t="shared" si="4"/>
        <v>3003</v>
      </c>
      <c r="AO34" s="167">
        <f t="shared" si="4"/>
        <v>-126</v>
      </c>
      <c r="AP34" s="167">
        <f t="shared" si="4"/>
        <v>5767</v>
      </c>
      <c r="AQ34" s="167">
        <f t="shared" si="4"/>
        <v>-675</v>
      </c>
      <c r="AR34" s="167">
        <f t="shared" si="4"/>
        <v>168142</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49"/>
      <c r="AM36" s="308" t="str">
        <f>AM20</f>
        <v>Non-Residential Arrearage Dollars</v>
      </c>
      <c r="AN36" s="308"/>
      <c r="AO36" s="308"/>
      <c r="AP36" s="308"/>
      <c r="AQ36" s="308"/>
      <c r="AR36" s="309"/>
      <c r="AS36" s="4"/>
      <c r="AT36" s="149"/>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44440</v>
      </c>
      <c r="B38" s="11" t="s">
        <v>195</v>
      </c>
      <c r="C38" s="11" t="s">
        <v>196</v>
      </c>
      <c r="D38" s="164" t="s">
        <v>216</v>
      </c>
      <c r="E38" s="11"/>
      <c r="F38" s="11"/>
      <c r="G38" s="11"/>
      <c r="H38" s="11"/>
      <c r="I38" s="11"/>
      <c r="J38" s="11"/>
      <c r="M38" s="168">
        <v>162265</v>
      </c>
      <c r="N38" s="168">
        <v>43568</v>
      </c>
      <c r="O38" s="168">
        <v>53003</v>
      </c>
      <c r="P38" s="168">
        <v>75160</v>
      </c>
      <c r="Q38" s="168">
        <v>21364</v>
      </c>
      <c r="R38" s="168">
        <v>465091</v>
      </c>
      <c r="S38" s="4"/>
      <c r="T38" s="4"/>
      <c r="U38" s="11"/>
      <c r="V38" s="11"/>
      <c r="W38" s="11"/>
      <c r="X38" s="11"/>
      <c r="Y38" s="11"/>
      <c r="Z38" s="11"/>
      <c r="AA38" s="4"/>
      <c r="AB38" s="11" t="s">
        <v>195</v>
      </c>
      <c r="AC38" s="11" t="s">
        <v>196</v>
      </c>
      <c r="AD38" s="164" t="s">
        <v>216</v>
      </c>
      <c r="AE38" s="21"/>
      <c r="AF38" s="21"/>
      <c r="AG38" s="21"/>
      <c r="AH38" s="21"/>
      <c r="AI38" s="21"/>
      <c r="AJ38" s="21"/>
      <c r="AK38" s="4"/>
      <c r="AL38" s="4"/>
      <c r="AM38" s="191">
        <v>33361</v>
      </c>
      <c r="AN38" s="191">
        <v>-1</v>
      </c>
      <c r="AO38" s="191">
        <v>6</v>
      </c>
      <c r="AP38" s="191">
        <v>3335</v>
      </c>
      <c r="AQ38" s="191">
        <v>0</v>
      </c>
      <c r="AR38" s="191">
        <v>33159</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162265</v>
      </c>
      <c r="N50" s="165">
        <f t="shared" si="7"/>
        <v>43568</v>
      </c>
      <c r="O50" s="165">
        <f t="shared" si="7"/>
        <v>53003</v>
      </c>
      <c r="P50" s="165">
        <f t="shared" si="7"/>
        <v>75160</v>
      </c>
      <c r="Q50" s="165">
        <f t="shared" si="7"/>
        <v>21364</v>
      </c>
      <c r="R50" s="165">
        <f t="shared" si="7"/>
        <v>465091</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33361</v>
      </c>
      <c r="AN50" s="165">
        <f t="shared" si="10"/>
        <v>-1</v>
      </c>
      <c r="AO50" s="165">
        <f t="shared" si="10"/>
        <v>6</v>
      </c>
      <c r="AP50" s="165">
        <f t="shared" si="10"/>
        <v>3335</v>
      </c>
      <c r="AQ50" s="165">
        <f t="shared" si="10"/>
        <v>0</v>
      </c>
      <c r="AR50" s="165">
        <f t="shared" si="10"/>
        <v>33159</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49"/>
      <c r="AM52" s="308" t="str">
        <f>AM36</f>
        <v>Non-Residential Arrearage Dollars</v>
      </c>
      <c r="AN52" s="308"/>
      <c r="AO52" s="308"/>
      <c r="AP52" s="308"/>
      <c r="AQ52" s="308"/>
      <c r="AR52" s="309"/>
      <c r="AS52" s="4"/>
      <c r="AT52" s="149"/>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43709</v>
      </c>
      <c r="B54" s="11" t="s">
        <v>195</v>
      </c>
      <c r="C54" s="11" t="s">
        <v>196</v>
      </c>
      <c r="D54" s="164" t="s">
        <v>216</v>
      </c>
      <c r="E54" s="11"/>
      <c r="F54" s="11"/>
      <c r="G54" s="11"/>
      <c r="H54" s="11"/>
      <c r="I54" s="11"/>
      <c r="J54" s="11"/>
      <c r="M54" s="168">
        <v>167689</v>
      </c>
      <c r="N54" s="197">
        <v>31597</v>
      </c>
      <c r="O54" s="168">
        <v>53657</v>
      </c>
      <c r="P54" s="168">
        <v>83880</v>
      </c>
      <c r="Q54" s="168">
        <v>18765</v>
      </c>
      <c r="R54" s="168">
        <v>148229</v>
      </c>
      <c r="S54" s="4"/>
      <c r="T54" s="4"/>
      <c r="U54" s="11"/>
      <c r="V54" s="11"/>
      <c r="W54" s="11"/>
      <c r="X54" s="11"/>
      <c r="Y54" s="11"/>
      <c r="Z54" s="11"/>
      <c r="AA54" s="4"/>
      <c r="AB54" s="11" t="s">
        <v>195</v>
      </c>
      <c r="AC54" s="11" t="s">
        <v>196</v>
      </c>
      <c r="AD54" s="164" t="s">
        <v>216</v>
      </c>
      <c r="AE54" s="21"/>
      <c r="AF54" s="21"/>
      <c r="AG54" s="21"/>
      <c r="AH54" s="21"/>
      <c r="AI54" s="21"/>
      <c r="AJ54" s="21"/>
      <c r="AK54" s="4"/>
      <c r="AL54" s="4"/>
      <c r="AM54" s="191">
        <v>12431</v>
      </c>
      <c r="AN54" s="191">
        <v>436</v>
      </c>
      <c r="AO54" s="191">
        <v>-92</v>
      </c>
      <c r="AP54" s="191">
        <v>-384</v>
      </c>
      <c r="AQ54" s="191">
        <v>-100</v>
      </c>
      <c r="AR54" s="191">
        <v>33195</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167689</v>
      </c>
      <c r="N66" s="165">
        <f t="shared" si="13"/>
        <v>31597</v>
      </c>
      <c r="O66" s="165">
        <f t="shared" si="13"/>
        <v>53657</v>
      </c>
      <c r="P66" s="165">
        <f t="shared" si="13"/>
        <v>83880</v>
      </c>
      <c r="Q66" s="165">
        <f t="shared" si="13"/>
        <v>18765</v>
      </c>
      <c r="R66" s="165">
        <f t="shared" si="13"/>
        <v>148229</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12431</v>
      </c>
      <c r="AN66" s="165">
        <f t="shared" si="16"/>
        <v>436</v>
      </c>
      <c r="AO66" s="165">
        <f t="shared" si="16"/>
        <v>-92</v>
      </c>
      <c r="AP66" s="165">
        <f t="shared" si="16"/>
        <v>-384</v>
      </c>
      <c r="AQ66" s="165">
        <f t="shared" si="16"/>
        <v>-100</v>
      </c>
      <c r="AR66" s="165">
        <f t="shared" si="16"/>
        <v>33195</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A21" zoomScale="70" zoomScaleNormal="70" zoomScaleSheetLayoutView="40" zoomScalePageLayoutView="55" workbookViewId="0">
      <selection activeCell="AC89" sqref="AC89"/>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327</v>
      </c>
      <c r="W15" s="259"/>
      <c r="X15" s="259"/>
      <c r="Y15" s="259"/>
      <c r="Z15" s="259"/>
      <c r="AA15" s="259"/>
      <c r="AB15" s="259"/>
      <c r="AC15" s="259"/>
      <c r="AD15" s="259"/>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0" t="s">
        <v>328</v>
      </c>
      <c r="W16" s="259"/>
      <c r="X16" s="259"/>
      <c r="Y16" s="259"/>
      <c r="Z16" s="259"/>
      <c r="AA16" s="259"/>
      <c r="AB16" s="259"/>
      <c r="AC16" s="259"/>
      <c r="AD16" s="259"/>
    </row>
    <row r="17" spans="1:30" ht="17.399999999999999" customHeight="1" x14ac:dyDescent="0.3">
      <c r="A17" s="259" t="s">
        <v>326</v>
      </c>
      <c r="B17" s="259"/>
      <c r="C17" s="259"/>
      <c r="D17" s="259"/>
      <c r="E17" s="259"/>
      <c r="F17" s="259"/>
      <c r="G17" s="259"/>
      <c r="H17" s="259"/>
      <c r="I17" s="259"/>
      <c r="J17" s="259"/>
      <c r="L17" s="188"/>
      <c r="M17" s="188"/>
      <c r="N17" s="188"/>
      <c r="O17" s="188"/>
      <c r="P17" s="188"/>
      <c r="Q17" s="188"/>
      <c r="R17" s="188"/>
      <c r="S17" s="188"/>
      <c r="T17" s="188"/>
      <c r="U17" s="188"/>
      <c r="V17" s="228" t="s">
        <v>329</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66" x14ac:dyDescent="0.3">
      <c r="A20" s="163">
        <v>44805</v>
      </c>
      <c r="B20" s="64" t="s">
        <v>114</v>
      </c>
      <c r="C20" s="64" t="s">
        <v>17</v>
      </c>
      <c r="D20" s="64" t="s">
        <v>108</v>
      </c>
      <c r="E20" s="64" t="s">
        <v>18</v>
      </c>
      <c r="F20" s="65" t="s">
        <v>137</v>
      </c>
      <c r="G20" s="65" t="s">
        <v>325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68</v>
      </c>
      <c r="G21" s="168">
        <f>I21/12</f>
        <v>82.983615196078446</v>
      </c>
      <c r="H21" s="168">
        <v>67714.63</v>
      </c>
      <c r="I21" s="168">
        <f>+H21/F21</f>
        <v>995.8033823529413</v>
      </c>
      <c r="J21" s="11">
        <v>12</v>
      </c>
      <c r="L21" s="11"/>
      <c r="M21" s="11"/>
      <c r="N21" s="11"/>
      <c r="O21" s="11"/>
      <c r="P21" s="11"/>
      <c r="Q21" s="11"/>
      <c r="R21" s="11"/>
      <c r="S21" s="11"/>
      <c r="T21" s="11"/>
      <c r="V21" s="11"/>
      <c r="W21" s="11"/>
      <c r="X21" s="11"/>
      <c r="Y21" s="11"/>
      <c r="Z21" s="11"/>
      <c r="AA21" s="11"/>
      <c r="AB21" s="168">
        <v>2572</v>
      </c>
      <c r="AC21" s="168">
        <v>58086</v>
      </c>
      <c r="AD21" s="168">
        <f>+AC21/AB21</f>
        <v>22.583981337480559</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2572</v>
      </c>
      <c r="AC31" s="218">
        <f t="shared" ref="AC31:AD31" si="0">SUM(AC21:AC30)</f>
        <v>58086</v>
      </c>
      <c r="AD31" s="218">
        <f t="shared" si="0"/>
        <v>22.583981337480559</v>
      </c>
    </row>
    <row r="32" spans="1:30" s="4" customFormat="1" ht="13.2" x14ac:dyDescent="0.25">
      <c r="A32" s="52"/>
      <c r="L32" s="47"/>
      <c r="V32" s="47"/>
    </row>
    <row r="33" spans="1:30" ht="66" x14ac:dyDescent="0.3">
      <c r="A33" s="163">
        <v>44440</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330</v>
      </c>
      <c r="AC33" s="65" t="s">
        <v>128</v>
      </c>
      <c r="AD33" s="65" t="s">
        <v>148</v>
      </c>
    </row>
    <row r="34" spans="1:30" x14ac:dyDescent="0.3">
      <c r="A34" s="52"/>
      <c r="B34" s="11"/>
      <c r="C34" s="11" t="s">
        <v>270</v>
      </c>
      <c r="D34" s="11" t="s">
        <v>271</v>
      </c>
      <c r="E34" s="201" t="s">
        <v>216</v>
      </c>
      <c r="F34" s="11"/>
      <c r="G34" s="11"/>
      <c r="H34" s="11"/>
      <c r="I34" s="11"/>
      <c r="J34" s="11"/>
      <c r="L34" s="11"/>
      <c r="M34" s="11"/>
      <c r="N34" s="11"/>
      <c r="O34" s="11"/>
      <c r="P34" s="11"/>
      <c r="Q34" s="11"/>
      <c r="R34" s="11"/>
      <c r="S34" s="11"/>
      <c r="T34" s="11"/>
      <c r="V34" s="11"/>
      <c r="W34" s="11"/>
      <c r="X34" s="11"/>
      <c r="Y34" s="11"/>
      <c r="Z34" s="11"/>
      <c r="AA34" s="11"/>
      <c r="AB34" s="168">
        <v>155</v>
      </c>
      <c r="AC34" s="168">
        <v>21597</v>
      </c>
      <c r="AD34" s="168">
        <f>+AC34/AB34</f>
        <v>139.33548387096775</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155</v>
      </c>
      <c r="AC44" s="218">
        <f t="shared" ref="AC44" si="1">SUM(AC34:AC43)</f>
        <v>21597</v>
      </c>
      <c r="AD44" s="218">
        <f t="shared" ref="AD44" si="2">SUM(AD34:AD43)</f>
        <v>139.33548387096775</v>
      </c>
    </row>
    <row r="45" spans="1:30" s="4" customFormat="1" ht="13.2" x14ac:dyDescent="0.25">
      <c r="A45" s="52"/>
      <c r="L45" s="47"/>
      <c r="V45" s="47"/>
    </row>
    <row r="46" spans="1:30" ht="66" x14ac:dyDescent="0.3">
      <c r="A46" s="163">
        <v>43709</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2770</v>
      </c>
      <c r="AC47" s="168">
        <v>26387</v>
      </c>
      <c r="AD47" s="168">
        <f>+AC47/AB47</f>
        <v>9.5259927797833939</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2770</v>
      </c>
      <c r="AC57" s="218">
        <f t="shared" ref="AC57" si="3">SUM(AC47:AC56)</f>
        <v>26387</v>
      </c>
      <c r="AD57" s="218">
        <f t="shared" ref="AD57" si="4">SUM(AD47:AD56)</f>
        <v>9.5259927797833939</v>
      </c>
    </row>
    <row r="58" spans="1:30" s="4" customFormat="1" ht="13.2" x14ac:dyDescent="0.25">
      <c r="A58" s="52"/>
      <c r="L58" s="47"/>
      <c r="V58" s="47"/>
    </row>
    <row r="59" spans="1:30" ht="66" x14ac:dyDescent="0.3">
      <c r="A59" s="163">
        <v>44805</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481</v>
      </c>
      <c r="AC60" s="168">
        <v>2862</v>
      </c>
      <c r="AD60" s="168">
        <f>+AC60/AB60</f>
        <v>5.9501039501039505</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481</v>
      </c>
      <c r="AC71" s="218">
        <f t="shared" ref="AC71:AD71" si="5">SUM(AC60:AC70)</f>
        <v>2862</v>
      </c>
      <c r="AD71" s="218">
        <f t="shared" si="5"/>
        <v>5.9501039501039505</v>
      </c>
    </row>
    <row r="72" spans="1:30" s="4" customFormat="1" ht="13.2" x14ac:dyDescent="0.25">
      <c r="L72" s="47"/>
      <c r="V72" s="47"/>
    </row>
    <row r="73" spans="1:30" ht="66" x14ac:dyDescent="0.3">
      <c r="A73" s="163">
        <v>44440</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151</v>
      </c>
      <c r="AC74" s="168">
        <v>872</v>
      </c>
      <c r="AD74" s="168">
        <f>+AC74/AB74</f>
        <v>5.7748344370860929</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151</v>
      </c>
      <c r="AC85" s="218">
        <f t="shared" ref="AC85" si="6">SUM(AC74:AC84)</f>
        <v>872</v>
      </c>
      <c r="AD85" s="218">
        <f t="shared" ref="AD85" si="7">SUM(AD74:AD84)</f>
        <v>5.7748344370860929</v>
      </c>
    </row>
    <row r="86" spans="1:30" s="4" customFormat="1" ht="13.2" x14ac:dyDescent="0.25">
      <c r="A86" s="52"/>
      <c r="L86" s="47"/>
      <c r="V86" s="47"/>
    </row>
    <row r="87" spans="1:30" ht="66" x14ac:dyDescent="0.3">
      <c r="A87" s="163">
        <v>43709</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175</v>
      </c>
      <c r="AC88" s="168">
        <v>277</v>
      </c>
      <c r="AD88" s="168">
        <f>+AC88/AB88</f>
        <v>1.582857142857143</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175</v>
      </c>
      <c r="AC99" s="218">
        <f t="shared" ref="AC99" si="8">SUM(AC88:AC98)</f>
        <v>277</v>
      </c>
      <c r="AD99" s="218">
        <f t="shared" ref="AD99" si="9">SUM(AD88:AD98)</f>
        <v>1.582857142857143</v>
      </c>
    </row>
    <row r="100" spans="1:30" s="4" customFormat="1" ht="13.2" x14ac:dyDescent="0.25">
      <c r="A100" s="52"/>
    </row>
  </sheetData>
  <mergeCells count="21">
    <mergeCell ref="A17:J17"/>
    <mergeCell ref="L2:N2"/>
    <mergeCell ref="A8:J8"/>
    <mergeCell ref="L10:U10"/>
    <mergeCell ref="L12:U12"/>
    <mergeCell ref="V2:Y2"/>
    <mergeCell ref="L13:U13"/>
    <mergeCell ref="A12:J12"/>
    <mergeCell ref="A13:J13"/>
    <mergeCell ref="A10:J10"/>
    <mergeCell ref="V11:AD11"/>
    <mergeCell ref="V12:AD12"/>
    <mergeCell ref="V13:AD13"/>
    <mergeCell ref="A2:D2"/>
    <mergeCell ref="V15:AD15"/>
    <mergeCell ref="V16:AD16"/>
    <mergeCell ref="A15:J15"/>
    <mergeCell ref="L15:U15"/>
    <mergeCell ref="A14:J14"/>
    <mergeCell ref="L14:U14"/>
    <mergeCell ref="V14:AD14"/>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topLeftCell="F1" zoomScale="70" zoomScaleNormal="70" zoomScalePageLayoutView="60" workbookViewId="0">
      <selection activeCell="I11" sqref="I11:K1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0" t="s">
        <v>331</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1</v>
      </c>
      <c r="J18" s="45">
        <v>1</v>
      </c>
      <c r="K18" s="102">
        <v>0</v>
      </c>
      <c r="M18" s="221">
        <v>0</v>
      </c>
      <c r="N18" s="219">
        <v>13.8</v>
      </c>
      <c r="P18" s="227">
        <v>0</v>
      </c>
      <c r="Q18" s="220">
        <v>13.6</v>
      </c>
      <c r="S18" s="224">
        <v>0</v>
      </c>
      <c r="T18" s="220">
        <v>0</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0">
        <v>0</v>
      </c>
      <c r="K19" s="223">
        <v>0</v>
      </c>
      <c r="M19" s="222">
        <v>0</v>
      </c>
      <c r="N19" s="219">
        <v>0</v>
      </c>
      <c r="P19" s="222">
        <v>0</v>
      </c>
      <c r="Q19" s="220">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68</v>
      </c>
      <c r="J20" s="220">
        <v>0</v>
      </c>
      <c r="K20" s="223">
        <v>0</v>
      </c>
      <c r="M20" s="222">
        <v>38</v>
      </c>
      <c r="N20" s="219">
        <v>6202.23</v>
      </c>
      <c r="P20" s="222">
        <v>0</v>
      </c>
      <c r="Q20" s="220">
        <v>0</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0">
        <v>0</v>
      </c>
      <c r="K21" s="223">
        <v>0</v>
      </c>
      <c r="M21" s="222">
        <v>0</v>
      </c>
      <c r="N21" s="219">
        <v>0</v>
      </c>
      <c r="P21" s="222">
        <v>0</v>
      </c>
      <c r="Q21" s="220">
        <v>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2023-09-14T15:12:46Z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