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199828D3-E790-4817-B0A7-45806D980EC2}" xr6:coauthVersionLast="47" xr6:coauthVersionMax="47" xr10:uidLastSave="{00000000-0000-0000-0000-000000000000}"/>
  <bookViews>
    <workbookView xWindow="12525" yWindow="-163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6" l="1"/>
  <c r="H78" i="20"/>
  <c r="AD88" i="20"/>
  <c r="AD56" i="20"/>
  <c r="N88" i="20"/>
  <c r="O56" i="20"/>
  <c r="K88" i="20"/>
  <c r="J88" i="20"/>
  <c r="K56" i="20"/>
  <c r="J56" i="20"/>
  <c r="H88" i="20"/>
  <c r="H56" i="20"/>
  <c r="G56" i="20"/>
  <c r="AD78" i="20"/>
  <c r="AD45" i="20"/>
  <c r="O45" i="20"/>
  <c r="K78" i="20"/>
  <c r="J78" i="20"/>
  <c r="K45" i="20"/>
  <c r="J45" i="20"/>
  <c r="H45" i="20"/>
  <c r="G78" i="20"/>
  <c r="F78" i="20"/>
  <c r="G45" i="20"/>
  <c r="AD68" i="20"/>
  <c r="AD34" i="20"/>
  <c r="O34" i="20"/>
  <c r="K68" i="20"/>
  <c r="J68" i="20"/>
  <c r="K34" i="20"/>
  <c r="J34" i="20"/>
  <c r="H68" i="20"/>
  <c r="H34" i="20"/>
  <c r="G68" i="20"/>
  <c r="F68" i="20"/>
  <c r="G34" i="20"/>
  <c r="O78" i="20" l="1"/>
  <c r="N78" i="20"/>
  <c r="O68" i="20" l="1"/>
  <c r="N68" i="20"/>
  <c r="AD88" i="16"/>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<sst xmlns="http://schemas.openxmlformats.org/spreadsheetml/2006/main" count="17429" uniqueCount="331">
  <si>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</si>
  <si>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</si>
  <si>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</si>
  <si>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</si>
  <si>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</si>
  <si>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</si>
  <si>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</si>
  <si>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</si>
  <si>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</si>
  <si>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</si>
  <si>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</si>
  <si>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</si>
  <si>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</si>
  <si>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</si>
  <si>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</si>
  <si>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</si>
  <si>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</si>
  <si>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</si>
  <si>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</si>
  <si>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</si>
  <si>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</si>
  <si>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</si>
  <si>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</si>
  <si>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</si>
  <si>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</si>
  <si>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</si>
  <si>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</si>
  <si>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</si>
  <si>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</si>
  <si>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</si>
  <si>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</si>
  <si>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</si>
  <si>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</si>
  <si>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</si>
  <si>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</si>
  <si>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</si>
  <si>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</si>
  <si>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</si>
  <si>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</si>
  <si>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</si>
  <si>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</si>
  <si>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</si>
  <si>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</si>
  <si>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</si>
  <si>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</si>
  <si>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</si>
  <si>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</si>
  <si>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</si>
  <si>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</si>
  <si>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</si>
  <si>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</si>
  <si>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</si>
  <si>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</si>
  <si>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</si>
  <si>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</si>
  <si>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</si>
  <si>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</si>
  <si>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</si>
  <si>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</si>
  <si>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</si>
  <si>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</si>
  <si>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</si>
  <si>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</si>
  <si>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</si>
  <si>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</si>
  <si>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</si>
  <si>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</si>
  <si>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</si>
  <si>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</si>
  <si>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</si>
  <si>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</si>
  <si>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</si>
  <si>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</si>
  <si>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</si>
  <si>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</si>
  <si>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</si>
  <si>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</si>
  <si>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</si>
  <si>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</si>
  <si>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</si>
  <si>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</si>
  <si>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</si>
  <si>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</si>
  <si>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</si>
  <si>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</si>
  <si>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</si>
  <si>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</si>
  <si>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</si>
  <si>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</si>
  <si>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</si>
  <si>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</si>
  <si>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</si>
  <si>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</si>
  <si>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</si>
  <si>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</si>
  <si>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</si>
  <si>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</si>
  <si>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</si>
  <si>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</si>
  <si>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</si>
  <si>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</si>
  <si>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</si>
  <si>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</si>
  <si>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</si>
  <si>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</si>
  <si>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</si>
  <si>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</si>
  <si>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</si>
  <si>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</si>
  <si>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</si>
  <si>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</si>
  <si>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</si>
  <si>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</si>
  <si>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</si>
  <si>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</si>
  <si>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</si>
  <si>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</si>
  <si>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</si>
  <si>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</si>
  <si>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</si>
  <si>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</si>
  <si>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</si>
  <si>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</si>
  <si>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</si>
  <si>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</si>
  <si>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</si>
  <si>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</si>
  <si>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</si>
  <si>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</si>
  <si>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</si>
  <si>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</si>
  <si>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</si>
  <si>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</si>
  <si>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</si>
  <si>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</si>
  <si>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</si>
  <si>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</si>
  <si>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</si>
  <si>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</si>
  <si>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</si>
  <si>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</si>
  <si>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</si>
  <si>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</si>
  <si>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</si>
  <si>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</si>
  <si>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</si>
  <si>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</si>
  <si>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</si>
  <si>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</si>
  <si>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</si>
  <si>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</si>
  <si>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</si>
  <si>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</si>
  <si>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</si>
  <si>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</si>
  <si>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</si>
  <si>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</si>
  <si>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</si>
  <si>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</si>
  <si>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</si>
  <si>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</si>
  <si>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</si>
  <si>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</si>
  <si>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</si>
  <si>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</si>
  <si>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</si>
  <si>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</si>
  <si>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</si>
  <si>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</si>
  <si>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</si>
  <si>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</si>
  <si>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</si>
  <si>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</si>
  <si>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</si>
  <si>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</si>
  <si>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</si>
  <si>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</si>
  <si>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</si>
  <si>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</si>
  <si>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</si>
  <si>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</si>
  <si>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</si>
  <si>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</si>
  <si>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</si>
  <si>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</si>
  <si>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</si>
  <si>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</si>
  <si>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</si>
  <si>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</si>
  <si>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</si>
  <si>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</si>
  <si>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</si>
  <si>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</si>
  <si>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</si>
  <si>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</si>
  <si>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</si>
  <si>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</si>
  <si>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</si>
  <si>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</si>
  <si>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</si>
  <si>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</si>
  <si>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</si>
  <si>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</si>
  <si>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</si>
  <si>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</si>
  <si>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</si>
  <si>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</si>
  <si>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</si>
  <si>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</si>
  <si>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</si>
  <si>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</si>
  <si>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</si>
  <si>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</si>
  <si>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</si>
  <si>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</si>
  <si>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</si>
  <si>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</si>
  <si>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</si>
  <si>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</si>
  <si>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</si>
  <si>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</si>
  <si>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</si>
  <si>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</si>
  <si>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</si>
  <si>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</si>
  <si>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</si>
  <si>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</si>
  <si>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</si>
  <si>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</si>
  <si>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</si>
  <si>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</si>
  <si>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</si>
  <si>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</si>
  <si>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</si>
  <si>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</si>
  <si>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</si>
  <si>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</si>
  <si>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</si>
  <si>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</si>
  <si>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</si>
  <si>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</si>
  <si>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</si>
  <si>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</si>
  <si>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</si>
  <si>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</si>
  <si>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</si>
  <si>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</si>
  <si>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</si>
  <si>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</si>
  <si>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</si>
  <si>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</si>
  <si>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</si>
  <si>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</si>
  <si>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</si>
  <si>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</si>
  <si>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</si>
  <si>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</si>
  <si>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</si>
  <si>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</si>
  <si>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</si>
  <si>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</si>
  <si>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</si>
  <si>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</si>
  <si>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</si>
  <si>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</si>
  <si>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</si>
  <si>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</si>
  <si>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</si>
  <si>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</si>
  <si>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</si>
  <si>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</si>
  <si>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</si>
  <si>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</si>
  <si>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</si>
  <si>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</si>
  <si>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</si>
  <si>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</si>
  <si>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</si>
  <si>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</si>
  <si>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</si>
  <si>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</si>
  <si>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</si>
  <si>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</si>
  <si>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</si>
  <si>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</si>
  <si>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</si>
  <si>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</si>
  <si>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</si>
  <si>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</si>
  <si>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</si>
  <si>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</si>
  <si>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</si>
  <si>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</si>
  <si>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</si>
  <si>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</si>
  <si>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</si>
  <si>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</si>
  <si>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</si>
  <si>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</si>
  <si>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</si>
  <si>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</si>
  <si>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</si>
  <si>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</si>
  <si>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</si>
  <si>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</si>
  <si>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</si>
  <si>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</si>
  <si>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</si>
  <si>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</si>
  <si>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</si>
  <si>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</si>
  <si>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</si>
  <si>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</si>
  <si>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</si>
  <si>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</si>
  <si>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</si>
  <si>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</si>
  <si>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</si>
  <si>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2.  Dec = Cycle 3 Period 3 which includes Sep, Oct and Nov quarterly usage.   Cycle 4 Period 4 which includes Sep, Oct and Nov quarterly usage.</t>
  </si>
  <si>
    <t>Dec-2022 Residential Number of Customers that Applied</t>
  </si>
  <si>
    <t>Dec-2021 Residential Number of Customers that Applied</t>
  </si>
  <si>
    <t>dec-2019 Residential Number of Customers that Applied</t>
  </si>
  <si>
    <t>Dec-2022 Number of Residential Customers that Receive Assistance for Arrears</t>
  </si>
  <si>
    <t>Dec-2021 Number of Residential Customers that Receive Assistance for Arrears</t>
  </si>
  <si>
    <t>Dec-2019 Number of Residential Customers that Receive Assistance for Arrears</t>
  </si>
  <si>
    <t>Average Monthly Installment Amount (Per Customer)</t>
  </si>
  <si>
    <t xml:space="preserve">6.  Average monthly installment = Per customer - 10 months remaining. </t>
  </si>
  <si>
    <t>5.  Water accrued interest suspended March 2020 to March 2022</t>
  </si>
  <si>
    <t>6.  Sewer accrued interest suspended  December 2021 to march 2022.</t>
  </si>
  <si>
    <t>7.  Much of the residential accrued interest recorded during trhe above #5 and #6 notes are prior to Marcxh 2020.</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</si>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</sst>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43" fontId="7" fillId="0" borderId="39" xfId="1" applyFont="1" applyBorder="1"/>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590551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590550</xdr:colOff>
      <xdr:row>55</xdr:row>
      <xdr:rowOff>17145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47626</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45720</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598170</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161925</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15240</xdr:colOff>
      <xdr:row>155</xdr:row>
      <xdr:rowOff>9525</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598170</xdr:colOff>
      <xdr:row>204</xdr:row>
      <xdr:rowOff>142874</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44896</v>
      </c>
      <c r="B4" s="1"/>
      <c r="C4" s="1"/>
      <c r="D4" s="1"/>
      <c r="E4" s="1"/>
    </row>
    <row r="5" spans="1:5" x14ac:dyDescent="0.3">
      <c r="A5" s="225">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L157" sqref="L157"/>
    </sheetView>
  </sheetViews>
  <sheetFormatPr defaultRowHeight="14.4" x14ac:dyDescent="0.3"/>
  <cols>
    <col min="11" max="11" width="3.77734375" customWidth="1"/>
    <col min="12" max="21" width="8.886718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2022</v>
      </c>
      <c r="B3" s="334"/>
      <c r="C3" s="334"/>
      <c r="D3" s="334"/>
      <c r="E3" s="334"/>
      <c r="F3" s="334"/>
      <c r="G3" s="334"/>
      <c r="H3" s="334"/>
      <c r="I3" s="334"/>
      <c r="J3" s="334"/>
      <c r="L3" s="334">
        <v>2021</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zoomScaleNormal="100" zoomScaleSheetLayoutView="85" zoomScalePageLayoutView="70" workbookViewId="0">
      <selection activeCell="S78" sqref="S78:T78"/>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3" t="s">
        <v>3</v>
      </c>
      <c r="B2" s="234"/>
      <c r="C2" s="235"/>
      <c r="D2" s="84"/>
      <c r="E2" s="84"/>
      <c r="F2" s="84"/>
      <c r="G2" s="84"/>
      <c r="H2" s="84"/>
      <c r="I2" s="84"/>
      <c r="J2" s="84"/>
      <c r="K2" s="84"/>
      <c r="L2" s="84"/>
      <c r="M2" s="84"/>
      <c r="N2" s="251" t="s">
        <v>163</v>
      </c>
      <c r="O2" s="252"/>
      <c r="P2" s="61"/>
      <c r="Q2" s="242" t="s">
        <v>129</v>
      </c>
      <c r="R2" s="243"/>
      <c r="S2" s="244"/>
      <c r="T2" s="4"/>
      <c r="U2" s="4"/>
      <c r="V2" s="61"/>
      <c r="W2" s="16"/>
      <c r="X2" s="16"/>
      <c r="Y2" s="16"/>
      <c r="Z2" s="233" t="s">
        <v>150</v>
      </c>
      <c r="AA2" s="235"/>
      <c r="AB2" s="80"/>
      <c r="AC2" s="233" t="s">
        <v>8</v>
      </c>
      <c r="AD2" s="234"/>
      <c r="AE2" s="234"/>
      <c r="AF2" s="235"/>
      <c r="AG2" s="72"/>
      <c r="AH2" s="72"/>
      <c r="AM2" s="72"/>
    </row>
    <row r="3" spans="1:39" ht="14.4" customHeight="1" thickBot="1" x14ac:dyDescent="0.3">
      <c r="A3" s="236"/>
      <c r="B3" s="237"/>
      <c r="C3" s="238"/>
      <c r="D3" s="49"/>
      <c r="E3" s="49"/>
      <c r="F3" s="49"/>
      <c r="G3" s="49"/>
      <c r="H3" s="49"/>
      <c r="I3" s="49"/>
      <c r="J3" s="49"/>
      <c r="K3" s="49"/>
      <c r="L3" s="49"/>
      <c r="M3" s="49"/>
      <c r="N3" s="253"/>
      <c r="O3" s="254"/>
      <c r="P3" s="61"/>
      <c r="Q3" s="245"/>
      <c r="R3" s="246"/>
      <c r="S3" s="247"/>
      <c r="T3" s="4"/>
      <c r="U3" s="4"/>
      <c r="V3" s="61"/>
      <c r="W3" s="16"/>
      <c r="X3" s="16"/>
      <c r="Y3" s="16"/>
      <c r="Z3" s="239"/>
      <c r="AA3" s="241"/>
      <c r="AB3" s="80"/>
      <c r="AC3" s="239"/>
      <c r="AD3" s="240"/>
      <c r="AE3" s="240"/>
      <c r="AF3" s="241"/>
      <c r="AG3" s="72"/>
      <c r="AH3" s="72"/>
      <c r="AM3" s="72"/>
    </row>
    <row r="4" spans="1:39" ht="14.4" customHeight="1" x14ac:dyDescent="0.25">
      <c r="A4" s="50"/>
      <c r="B4" s="50"/>
      <c r="C4" s="50"/>
      <c r="D4" s="50"/>
      <c r="E4" s="50"/>
      <c r="F4" s="50"/>
      <c r="G4" s="50"/>
      <c r="H4" s="50"/>
      <c r="I4" s="50"/>
      <c r="J4" s="50"/>
      <c r="K4" s="50"/>
      <c r="L4" s="50"/>
      <c r="M4" s="50"/>
      <c r="N4" s="253"/>
      <c r="O4" s="254"/>
      <c r="P4" s="61"/>
      <c r="Q4" s="245"/>
      <c r="R4" s="246"/>
      <c r="S4" s="247"/>
      <c r="T4" s="4"/>
      <c r="U4" s="4"/>
      <c r="V4" s="61"/>
      <c r="W4" s="16"/>
      <c r="X4" s="16"/>
      <c r="Y4" s="16"/>
      <c r="Z4" s="239"/>
      <c r="AA4" s="241"/>
      <c r="AB4" s="80"/>
      <c r="AC4" s="239"/>
      <c r="AD4" s="240"/>
      <c r="AE4" s="240"/>
      <c r="AF4" s="241"/>
      <c r="AG4" s="72"/>
      <c r="AH4" s="72"/>
      <c r="AM4" s="72"/>
    </row>
    <row r="5" spans="1:39" ht="15" customHeight="1" thickBot="1" x14ac:dyDescent="0.3">
      <c r="A5" s="6" t="s">
        <v>175</v>
      </c>
      <c r="B5" s="51"/>
      <c r="C5" s="51"/>
      <c r="D5" s="51"/>
      <c r="E5" s="51"/>
      <c r="F5" s="51"/>
      <c r="G5" s="51"/>
      <c r="H5" s="51"/>
      <c r="I5" s="50"/>
      <c r="J5" s="50"/>
      <c r="K5" s="50"/>
      <c r="L5" s="50"/>
      <c r="M5" s="50"/>
      <c r="N5" s="253"/>
      <c r="O5" s="254"/>
      <c r="P5" s="61"/>
      <c r="Q5" s="248"/>
      <c r="R5" s="249"/>
      <c r="S5" s="250"/>
      <c r="T5" s="4"/>
      <c r="U5" s="4"/>
      <c r="V5" s="61"/>
      <c r="W5" s="16"/>
      <c r="X5" s="16"/>
      <c r="Y5" s="16"/>
      <c r="Z5" s="239"/>
      <c r="AA5" s="241"/>
      <c r="AB5" s="80"/>
      <c r="AC5" s="236"/>
      <c r="AD5" s="237"/>
      <c r="AE5" s="237"/>
      <c r="AF5" s="238"/>
      <c r="AG5" s="72"/>
      <c r="AH5" s="72"/>
      <c r="AM5" s="72"/>
    </row>
    <row r="6" spans="1:39" ht="15" customHeight="1" thickBot="1" x14ac:dyDescent="0.3">
      <c r="B6" s="4"/>
      <c r="C6" s="4"/>
      <c r="D6" s="4"/>
      <c r="E6" s="4"/>
      <c r="F6" s="4"/>
      <c r="G6" s="4"/>
      <c r="H6" s="4"/>
      <c r="I6" s="50"/>
      <c r="J6" s="50"/>
      <c r="K6" s="50"/>
      <c r="L6" s="50"/>
      <c r="M6" s="50"/>
      <c r="N6" s="255"/>
      <c r="O6" s="256"/>
      <c r="P6" s="61"/>
      <c r="R6" s="4"/>
      <c r="S6" s="9"/>
      <c r="T6" s="4"/>
      <c r="U6" s="4"/>
      <c r="V6" s="4"/>
      <c r="W6" s="9"/>
      <c r="X6" s="9"/>
      <c r="Y6" s="9"/>
      <c r="Z6" s="236"/>
      <c r="AA6" s="238"/>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9" t="s">
        <v>218</v>
      </c>
      <c r="AA7" s="230"/>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9" t="s">
        <v>219</v>
      </c>
      <c r="B9" s="259"/>
      <c r="C9" s="259"/>
      <c r="D9" s="259"/>
      <c r="E9" s="259"/>
      <c r="F9" s="259"/>
      <c r="G9" s="259"/>
      <c r="H9" s="259"/>
      <c r="I9" s="259"/>
      <c r="J9" s="259"/>
      <c r="K9" s="259"/>
      <c r="L9" s="259"/>
      <c r="M9" s="217"/>
      <c r="N9" s="231"/>
      <c r="O9" s="232"/>
      <c r="P9" s="61"/>
      <c r="Q9" s="260" t="s">
        <v>240</v>
      </c>
      <c r="R9" s="261"/>
      <c r="S9" s="261"/>
      <c r="T9" s="261"/>
      <c r="U9" s="261"/>
      <c r="V9" s="261"/>
      <c r="W9" s="261"/>
      <c r="X9" s="4"/>
      <c r="Z9" s="231" t="s">
        <v>241</v>
      </c>
      <c r="AA9" s="232"/>
      <c r="AB9" s="80"/>
      <c r="AC9" s="231" t="s">
        <v>268</v>
      </c>
      <c r="AD9" s="232"/>
      <c r="AE9" s="232"/>
      <c r="AF9" s="232"/>
      <c r="AG9" s="4"/>
    </row>
    <row r="10" spans="1:39" ht="15" customHeight="1" x14ac:dyDescent="0.25">
      <c r="A10" s="259" t="s">
        <v>318</v>
      </c>
      <c r="B10" s="259"/>
      <c r="C10" s="259"/>
      <c r="D10" s="259"/>
      <c r="E10" s="259"/>
      <c r="F10" s="259"/>
      <c r="G10" s="259"/>
      <c r="H10" s="259"/>
      <c r="I10" s="259"/>
      <c r="J10" s="259"/>
      <c r="K10" s="259"/>
      <c r="L10" s="259"/>
      <c r="M10" s="50"/>
      <c r="N10" s="231"/>
      <c r="O10" s="232"/>
      <c r="P10" s="61"/>
      <c r="Q10" s="260" t="s">
        <v>299</v>
      </c>
      <c r="R10" s="261"/>
      <c r="S10" s="261"/>
      <c r="T10" s="261"/>
      <c r="U10" s="261"/>
      <c r="V10" s="261"/>
      <c r="W10" s="261"/>
      <c r="X10" s="4"/>
      <c r="Z10" s="231"/>
      <c r="AA10" s="232"/>
      <c r="AB10" s="80"/>
      <c r="AC10" s="231"/>
      <c r="AD10" s="232"/>
      <c r="AE10" s="232"/>
      <c r="AF10" s="232"/>
      <c r="AG10" s="4"/>
    </row>
    <row r="11" spans="1:39" ht="15" customHeight="1" x14ac:dyDescent="0.25">
      <c r="A11" s="259" t="s">
        <v>248</v>
      </c>
      <c r="B11" s="259"/>
      <c r="C11" s="259"/>
      <c r="D11" s="259"/>
      <c r="E11" s="259"/>
      <c r="F11" s="259"/>
      <c r="G11" s="259"/>
      <c r="H11" s="259"/>
      <c r="I11" s="259"/>
      <c r="J11" s="259"/>
      <c r="K11" s="259"/>
      <c r="L11" s="259"/>
      <c r="M11" s="50"/>
      <c r="N11" s="231"/>
      <c r="O11" s="232"/>
      <c r="P11" s="61"/>
      <c r="Q11" s="260" t="s">
        <v>300</v>
      </c>
      <c r="R11" s="261"/>
      <c r="S11" s="261"/>
      <c r="T11" s="261"/>
      <c r="U11" s="261"/>
      <c r="V11" s="261"/>
      <c r="W11" s="261"/>
      <c r="X11" s="4"/>
      <c r="Z11" s="231" t="s">
        <v>242</v>
      </c>
      <c r="AA11" s="232"/>
      <c r="AB11" s="80"/>
      <c r="AC11" s="231" t="s">
        <v>259</v>
      </c>
      <c r="AD11" s="232"/>
      <c r="AE11" s="232"/>
      <c r="AF11" s="232"/>
      <c r="AG11" s="4"/>
    </row>
    <row r="12" spans="1:39" ht="15" customHeight="1" x14ac:dyDescent="0.25">
      <c r="A12" s="259" t="s">
        <v>302</v>
      </c>
      <c r="B12" s="259"/>
      <c r="C12" s="259"/>
      <c r="D12" s="259"/>
      <c r="E12" s="259"/>
      <c r="F12" s="259"/>
      <c r="G12" s="259"/>
      <c r="H12" s="259"/>
      <c r="I12" s="259"/>
      <c r="J12" s="259"/>
      <c r="K12" s="259"/>
      <c r="L12" s="259"/>
      <c r="M12" s="50"/>
      <c r="N12" s="231"/>
      <c r="O12" s="232"/>
      <c r="P12" s="61"/>
      <c r="Q12" s="260" t="s">
        <v>301</v>
      </c>
      <c r="R12" s="261"/>
      <c r="S12" s="261"/>
      <c r="T12" s="261"/>
      <c r="U12" s="261"/>
      <c r="V12" s="261"/>
      <c r="W12" s="261"/>
      <c r="X12" s="4"/>
      <c r="Z12" s="231"/>
      <c r="AA12" s="232"/>
      <c r="AB12" s="80"/>
      <c r="AC12" s="231"/>
      <c r="AD12" s="232"/>
      <c r="AE12" s="232"/>
      <c r="AF12" s="232"/>
      <c r="AG12" s="4"/>
    </row>
    <row r="13" spans="1:39" ht="15" customHeight="1" x14ac:dyDescent="0.25">
      <c r="A13" s="259" t="s">
        <v>249</v>
      </c>
      <c r="B13" s="259"/>
      <c r="C13" s="259"/>
      <c r="D13" s="259"/>
      <c r="E13" s="259"/>
      <c r="F13" s="259"/>
      <c r="G13" s="259"/>
      <c r="H13" s="259"/>
      <c r="I13" s="259"/>
      <c r="J13" s="259"/>
      <c r="K13" s="259"/>
      <c r="L13" s="259"/>
      <c r="M13" s="50"/>
      <c r="N13" s="231"/>
      <c r="O13" s="232"/>
      <c r="P13" s="61"/>
      <c r="Q13" s="210"/>
      <c r="R13" s="205"/>
      <c r="S13" s="205"/>
      <c r="T13" s="205"/>
      <c r="U13" s="205"/>
      <c r="V13" s="4"/>
      <c r="W13" s="4"/>
      <c r="X13" s="4"/>
      <c r="Z13" s="231"/>
      <c r="AA13" s="232"/>
      <c r="AB13" s="80"/>
      <c r="AC13" s="231"/>
      <c r="AD13" s="232"/>
      <c r="AE13" s="232"/>
      <c r="AF13" s="232"/>
      <c r="AG13" s="4"/>
    </row>
    <row r="14" spans="1:39" ht="15" customHeight="1" x14ac:dyDescent="0.25">
      <c r="A14" s="259" t="s">
        <v>250</v>
      </c>
      <c r="B14" s="259"/>
      <c r="C14" s="259"/>
      <c r="D14" s="259"/>
      <c r="E14" s="259"/>
      <c r="F14" s="259"/>
      <c r="G14" s="259"/>
      <c r="H14" s="259"/>
      <c r="I14" s="259"/>
      <c r="J14" s="259"/>
      <c r="K14" s="259"/>
      <c r="L14" s="259"/>
      <c r="M14" s="50"/>
      <c r="N14" s="231"/>
      <c r="O14" s="232"/>
      <c r="P14" s="61"/>
      <c r="Q14" s="210"/>
      <c r="R14" s="205"/>
      <c r="S14" s="205"/>
      <c r="T14" s="205"/>
      <c r="U14" s="205"/>
      <c r="V14" s="4"/>
      <c r="W14" s="4"/>
      <c r="X14" s="4"/>
      <c r="Z14" s="231"/>
      <c r="AA14" s="232"/>
      <c r="AB14" s="80"/>
      <c r="AC14" s="231" t="s">
        <v>258</v>
      </c>
      <c r="AD14" s="232"/>
      <c r="AE14" s="232"/>
      <c r="AF14" s="232"/>
      <c r="AG14" s="4"/>
    </row>
    <row r="15" spans="1:39" ht="15" customHeight="1" x14ac:dyDescent="0.25">
      <c r="A15" s="259" t="s">
        <v>251</v>
      </c>
      <c r="B15" s="259"/>
      <c r="C15" s="259"/>
      <c r="D15" s="259"/>
      <c r="E15" s="259"/>
      <c r="F15" s="259"/>
      <c r="G15" s="259"/>
      <c r="H15" s="259"/>
      <c r="I15" s="259"/>
      <c r="J15" s="259"/>
      <c r="K15" s="259"/>
      <c r="L15" s="259"/>
      <c r="M15" s="50"/>
      <c r="N15" s="231"/>
      <c r="O15" s="232"/>
      <c r="P15" s="61"/>
      <c r="Q15" s="210"/>
      <c r="R15" s="205"/>
      <c r="S15" s="205"/>
      <c r="T15" s="205"/>
      <c r="U15" s="205"/>
      <c r="V15" s="4"/>
      <c r="W15" s="4"/>
      <c r="X15" s="4"/>
      <c r="Z15" s="231"/>
      <c r="AA15" s="232"/>
      <c r="AB15" s="80"/>
      <c r="AC15" s="231"/>
      <c r="AD15" s="232"/>
      <c r="AE15" s="232"/>
      <c r="AF15" s="232"/>
      <c r="AG15" s="4"/>
    </row>
    <row r="16" spans="1:39" ht="15" customHeight="1" x14ac:dyDescent="0.25">
      <c r="A16" s="259" t="s">
        <v>254</v>
      </c>
      <c r="B16" s="259"/>
      <c r="C16" s="259"/>
      <c r="D16" s="259"/>
      <c r="E16" s="259"/>
      <c r="F16" s="259"/>
      <c r="G16" s="259"/>
      <c r="H16" s="259"/>
      <c r="I16" s="259"/>
      <c r="J16" s="259"/>
      <c r="K16" s="259"/>
      <c r="L16" s="259"/>
      <c r="M16" s="50"/>
      <c r="N16" s="231"/>
      <c r="O16" s="232"/>
      <c r="P16" s="61"/>
      <c r="Q16" s="210"/>
      <c r="R16" s="205"/>
      <c r="S16" s="205"/>
      <c r="T16" s="205"/>
      <c r="U16" s="205"/>
      <c r="V16" s="4"/>
      <c r="W16" s="4"/>
      <c r="X16" s="4"/>
      <c r="Z16" s="231" t="s">
        <v>261</v>
      </c>
      <c r="AA16" s="232"/>
      <c r="AB16" s="80"/>
      <c r="AC16" s="231" t="s">
        <v>260</v>
      </c>
      <c r="AD16" s="232"/>
      <c r="AE16" s="232"/>
      <c r="AF16" s="232"/>
      <c r="AG16" s="4"/>
    </row>
    <row r="17" spans="1:33" ht="15" customHeight="1" x14ac:dyDescent="0.25">
      <c r="A17" s="259" t="s">
        <v>255</v>
      </c>
      <c r="B17" s="259"/>
      <c r="C17" s="259"/>
      <c r="D17" s="259"/>
      <c r="E17" s="259"/>
      <c r="F17" s="259"/>
      <c r="G17" s="259"/>
      <c r="H17" s="259"/>
      <c r="I17" s="259"/>
      <c r="J17" s="259"/>
      <c r="K17" s="259"/>
      <c r="L17" s="259"/>
      <c r="M17" s="50"/>
      <c r="N17" s="231"/>
      <c r="O17" s="232"/>
      <c r="P17" s="61"/>
      <c r="Q17" s="210"/>
      <c r="R17" s="205"/>
      <c r="S17" s="205"/>
      <c r="T17" s="205"/>
      <c r="U17" s="205"/>
      <c r="V17" s="4"/>
      <c r="W17" s="4"/>
      <c r="X17" s="4"/>
      <c r="Z17" s="231"/>
      <c r="AA17" s="232"/>
      <c r="AB17" s="80"/>
      <c r="AC17" s="231"/>
      <c r="AD17" s="232"/>
      <c r="AE17" s="232"/>
      <c r="AF17" s="232"/>
      <c r="AG17" s="4"/>
    </row>
    <row r="18" spans="1:33" ht="15" customHeight="1" x14ac:dyDescent="0.25">
      <c r="A18" s="259" t="s">
        <v>252</v>
      </c>
      <c r="B18" s="259"/>
      <c r="C18" s="259"/>
      <c r="D18" s="259"/>
      <c r="E18" s="259"/>
      <c r="F18" s="259"/>
      <c r="G18" s="259"/>
      <c r="H18" s="259"/>
      <c r="I18" s="259"/>
      <c r="J18" s="259"/>
      <c r="K18" s="259"/>
      <c r="L18" s="259"/>
      <c r="M18" s="50"/>
      <c r="N18" s="231"/>
      <c r="O18" s="232"/>
      <c r="P18" s="61"/>
      <c r="Q18" s="210"/>
      <c r="R18" s="205"/>
      <c r="S18" s="205"/>
      <c r="T18" s="205"/>
      <c r="U18" s="205"/>
      <c r="V18" s="4"/>
      <c r="W18" s="4"/>
      <c r="X18" s="4"/>
      <c r="Z18" s="231"/>
      <c r="AA18" s="232"/>
      <c r="AB18" s="80"/>
      <c r="AC18" s="231"/>
      <c r="AD18" s="232"/>
      <c r="AE18" s="232"/>
      <c r="AF18" s="232"/>
      <c r="AG18" s="4"/>
    </row>
    <row r="19" spans="1:33" ht="15" customHeight="1" x14ac:dyDescent="0.25">
      <c r="A19" s="259" t="s">
        <v>253</v>
      </c>
      <c r="B19" s="259"/>
      <c r="C19" s="259"/>
      <c r="D19" s="259"/>
      <c r="E19" s="259"/>
      <c r="F19" s="259"/>
      <c r="G19" s="259"/>
      <c r="H19" s="259"/>
      <c r="I19" s="259"/>
      <c r="J19" s="259"/>
      <c r="K19" s="259"/>
      <c r="L19" s="259"/>
      <c r="M19" s="50"/>
      <c r="N19" s="231"/>
      <c r="O19" s="232"/>
      <c r="P19" s="61"/>
      <c r="Q19" s="210"/>
      <c r="R19" s="205"/>
      <c r="S19" s="205"/>
      <c r="T19" s="205"/>
      <c r="U19" s="205"/>
      <c r="V19" s="4"/>
      <c r="W19" s="4"/>
      <c r="X19" s="4"/>
      <c r="Z19" s="231"/>
      <c r="AA19" s="232"/>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1"/>
      <c r="O20" s="232"/>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1"/>
      <c r="O21" s="232"/>
      <c r="Q21" s="210"/>
      <c r="R21" s="205"/>
      <c r="S21" s="205"/>
      <c r="T21" s="205"/>
      <c r="U21" s="205"/>
      <c r="V21" s="4"/>
      <c r="W21" s="4"/>
      <c r="X21" s="4"/>
      <c r="Z21" s="257"/>
      <c r="AA21" s="258"/>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7"/>
      <c r="AA22" s="258"/>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7"/>
      <c r="AA23" s="258"/>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7"/>
      <c r="AA24" s="258"/>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7"/>
      <c r="AA25" s="258"/>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44896</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73338000</v>
      </c>
      <c r="G34" s="168">
        <f>72000+36688000</f>
        <v>36760000</v>
      </c>
      <c r="H34" s="168">
        <f>70183000*0.75</f>
        <v>52637250</v>
      </c>
      <c r="I34" s="168" t="s">
        <v>217</v>
      </c>
      <c r="J34" s="168">
        <f>161731.42+225+257336.15</f>
        <v>419292.57</v>
      </c>
      <c r="K34" s="168">
        <f>120+381.6+115737.44+194457.8</f>
        <v>310696.83999999997</v>
      </c>
      <c r="L34" s="168">
        <v>409650</v>
      </c>
      <c r="M34" s="168">
        <v>127733</v>
      </c>
      <c r="N34" s="168">
        <v>4178</v>
      </c>
      <c r="O34" s="170">
        <f>4+3885</f>
        <v>3889</v>
      </c>
      <c r="Q34" s="168">
        <f>+J34/N34</f>
        <v>100.35724509334609</v>
      </c>
      <c r="R34" s="168">
        <f>+K34/O34</f>
        <v>79.891190537413209</v>
      </c>
      <c r="S34" s="168">
        <v>96.2</v>
      </c>
      <c r="T34" s="168">
        <v>125.4</v>
      </c>
      <c r="U34" s="171">
        <f>+F34/N34</f>
        <v>17553.374820488272</v>
      </c>
      <c r="V34" s="171">
        <f>+G34/O34</f>
        <v>9452.3013628182052</v>
      </c>
      <c r="W34" s="168">
        <v>18000</v>
      </c>
      <c r="X34" s="168">
        <v>18000</v>
      </c>
      <c r="Z34" s="168">
        <v>729989.41</v>
      </c>
      <c r="AA34" s="168">
        <v>1033534.62</v>
      </c>
      <c r="AC34" s="171">
        <f>SUM(J34:K34)</f>
        <v>729989.40999999992</v>
      </c>
      <c r="AD34" s="171">
        <f>+Z34+201794</f>
        <v>931783.41</v>
      </c>
      <c r="AE34" s="171">
        <f>+AD34</f>
        <v>931783.41</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73338000</v>
      </c>
      <c r="G42" s="166">
        <f t="shared" ref="G42:O42" si="0">SUM(G34:G41)</f>
        <v>36760000</v>
      </c>
      <c r="H42" s="166">
        <f t="shared" si="0"/>
        <v>52637250</v>
      </c>
      <c r="I42" s="166">
        <f t="shared" si="0"/>
        <v>0</v>
      </c>
      <c r="J42" s="166">
        <f t="shared" si="0"/>
        <v>419292.57</v>
      </c>
      <c r="K42" s="166">
        <f t="shared" si="0"/>
        <v>310696.83999999997</v>
      </c>
      <c r="L42" s="166">
        <f t="shared" si="0"/>
        <v>409650</v>
      </c>
      <c r="M42" s="166">
        <f>SUM(M34:M41)</f>
        <v>127733</v>
      </c>
      <c r="N42" s="166">
        <f t="shared" si="0"/>
        <v>4178</v>
      </c>
      <c r="O42" s="166">
        <f t="shared" si="0"/>
        <v>3889</v>
      </c>
      <c r="Q42" s="166">
        <f>SUM(Q34:Q41)/1</f>
        <v>100.35724509334609</v>
      </c>
      <c r="R42" s="166">
        <f>SUM(R34:R41)/1</f>
        <v>79.891190537413209</v>
      </c>
      <c r="S42" s="166">
        <f>SUM(S34:S41)/1</f>
        <v>96.2</v>
      </c>
      <c r="T42" s="166">
        <f t="shared" ref="T42" si="1">SUM(T34:T41)</f>
        <v>125.4</v>
      </c>
      <c r="U42" s="166">
        <f t="shared" ref="U42" si="2">SUM(U34:U41)</f>
        <v>17553.374820488272</v>
      </c>
      <c r="V42" s="166">
        <f t="shared" ref="V42" si="3">SUM(V34:V41)</f>
        <v>9452.3013628182052</v>
      </c>
      <c r="W42" s="166">
        <f t="shared" ref="W42" si="4">SUM(W34:W41)</f>
        <v>18000</v>
      </c>
      <c r="X42" s="166">
        <f t="shared" ref="X42" si="5">SUM(X34:X41)</f>
        <v>18000</v>
      </c>
      <c r="Z42" s="166">
        <f t="shared" ref="Z42:AE42" si="6">SUM(Z34:Z41)</f>
        <v>729989.41</v>
      </c>
      <c r="AA42" s="166">
        <f t="shared" si="6"/>
        <v>1033534.62</v>
      </c>
      <c r="AC42" s="166">
        <f t="shared" si="6"/>
        <v>729989.40999999992</v>
      </c>
      <c r="AD42" s="166">
        <f t="shared" si="6"/>
        <v>931783.41</v>
      </c>
      <c r="AE42" s="166">
        <f t="shared" si="6"/>
        <v>931783.41</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44531</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73676000</v>
      </c>
      <c r="G45" s="168">
        <f>68000+38362000</f>
        <v>38430000</v>
      </c>
      <c r="H45" s="168">
        <f>68069000*0.75</f>
        <v>51051750</v>
      </c>
      <c r="I45" s="168" t="s">
        <v>217</v>
      </c>
      <c r="J45" s="168">
        <f>156950.69+150+246878.83</f>
        <v>403979.52000000002</v>
      </c>
      <c r="K45" s="168">
        <f>120+360.4+115212.05+203318.6</f>
        <v>319011.05</v>
      </c>
      <c r="L45" s="168">
        <v>315559</v>
      </c>
      <c r="M45" s="168">
        <v>93173</v>
      </c>
      <c r="N45" s="168">
        <v>4162</v>
      </c>
      <c r="O45" s="170">
        <f>4+3869</f>
        <v>3873</v>
      </c>
      <c r="Q45" s="168">
        <f>+J45/N45</f>
        <v>97.063796251802017</v>
      </c>
      <c r="R45" s="168">
        <f>+K45/O45</f>
        <v>82.367944745675189</v>
      </c>
      <c r="S45" s="168">
        <v>89.25</v>
      </c>
      <c r="T45" s="168">
        <v>120.01</v>
      </c>
      <c r="U45" s="171">
        <f>+F45/N45</f>
        <v>17702.066314271986</v>
      </c>
      <c r="V45" s="171">
        <f>+G45/O45</f>
        <v>9922.5406661502711</v>
      </c>
      <c r="W45" s="168">
        <v>17000</v>
      </c>
      <c r="X45" s="168">
        <v>17000</v>
      </c>
      <c r="Z45" s="168">
        <v>722990.57</v>
      </c>
      <c r="AA45" s="168">
        <v>745063.17</v>
      </c>
      <c r="AC45" s="171">
        <f>SUM(J45:K45)</f>
        <v>722990.57000000007</v>
      </c>
      <c r="AD45" s="171">
        <f>+Z45+135221</f>
        <v>858211.57</v>
      </c>
      <c r="AE45" s="171">
        <f>+AD45</f>
        <v>858211.57</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73676000</v>
      </c>
      <c r="G53" s="166">
        <f t="shared" ref="G53:N53" si="7">SUM(G45:G52)</f>
        <v>38430000</v>
      </c>
      <c r="H53" s="166">
        <f t="shared" si="7"/>
        <v>51051750</v>
      </c>
      <c r="I53" s="166">
        <f t="shared" si="7"/>
        <v>0</v>
      </c>
      <c r="J53" s="166">
        <f t="shared" si="7"/>
        <v>403979.52000000002</v>
      </c>
      <c r="K53" s="166">
        <f t="shared" si="7"/>
        <v>319011.05</v>
      </c>
      <c r="L53" s="166">
        <f t="shared" si="7"/>
        <v>315559</v>
      </c>
      <c r="M53" s="166">
        <f t="shared" si="7"/>
        <v>93173</v>
      </c>
      <c r="N53" s="166">
        <f t="shared" si="7"/>
        <v>4162</v>
      </c>
      <c r="O53" s="166">
        <f t="shared" ref="O53" si="8">SUM(O45:O52)</f>
        <v>3873</v>
      </c>
      <c r="Q53" s="166">
        <f>SUM(Q45:Q52)/1</f>
        <v>97.063796251802017</v>
      </c>
      <c r="R53" s="166">
        <f>SUM(R45:R52)/1</f>
        <v>82.367944745675189</v>
      </c>
      <c r="S53" s="166">
        <f>SUM(S45:S52)/1</f>
        <v>89.25</v>
      </c>
      <c r="T53" s="166">
        <f t="shared" ref="T53" si="9">SUM(T45:T52)</f>
        <v>120.01</v>
      </c>
      <c r="U53" s="166">
        <f t="shared" ref="U53" si="10">SUM(U45:U52)</f>
        <v>17702.066314271986</v>
      </c>
      <c r="V53" s="166">
        <f t="shared" ref="V53" si="11">SUM(V45:V52)</f>
        <v>9922.5406661502711</v>
      </c>
      <c r="W53" s="166">
        <f t="shared" ref="W53" si="12">SUM(W45:W52)</f>
        <v>17000</v>
      </c>
      <c r="X53" s="166">
        <f t="shared" ref="X53" si="13">SUM(X45:X52)</f>
        <v>17000</v>
      </c>
      <c r="Z53" s="166">
        <f t="shared" ref="Z53" si="14">SUM(Z45:Z52)</f>
        <v>722990.57</v>
      </c>
      <c r="AA53" s="166">
        <f t="shared" ref="AA53" si="15">SUM(AA45:AA52)</f>
        <v>745063.17</v>
      </c>
      <c r="AC53" s="166">
        <f t="shared" ref="AC53" si="16">SUM(AC45:AC52)</f>
        <v>722990.57000000007</v>
      </c>
      <c r="AD53" s="166">
        <f t="shared" ref="AD53" si="17">SUM(AD45:AD52)</f>
        <v>858211.57</v>
      </c>
      <c r="AE53" s="166">
        <f t="shared" ref="AE53" si="18">SUM(AE45:AE52)</f>
        <v>858211.57</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43800</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80327000</v>
      </c>
      <c r="G56" s="168">
        <f>68000+38683000</f>
        <v>38751000</v>
      </c>
      <c r="H56" s="168">
        <f>64775000*0.75</f>
        <v>48581250</v>
      </c>
      <c r="I56" s="11"/>
      <c r="J56" s="168">
        <f>143599.46+99.46+256412.46</f>
        <v>400111.38</v>
      </c>
      <c r="K56" s="168">
        <f>114.78+338+114505.25+201220</f>
        <v>316178.03000000003</v>
      </c>
      <c r="L56" s="168">
        <v>79775</v>
      </c>
      <c r="M56" s="168">
        <v>82085</v>
      </c>
      <c r="N56" s="168">
        <v>4135</v>
      </c>
      <c r="O56" s="170">
        <f>4+3847</f>
        <v>3851</v>
      </c>
      <c r="Q56" s="168">
        <f>+J56/N56</f>
        <v>96.762123337363974</v>
      </c>
      <c r="R56" s="168">
        <f>+K56/O56</f>
        <v>82.102838223837978</v>
      </c>
      <c r="S56" s="168">
        <v>82.5</v>
      </c>
      <c r="T56" s="168">
        <v>118.4</v>
      </c>
      <c r="U56" s="171">
        <f>+F56/N56</f>
        <v>19426.118500604596</v>
      </c>
      <c r="V56" s="171">
        <f>+G56/O56</f>
        <v>10062.58114775383</v>
      </c>
      <c r="W56" s="168">
        <v>17000</v>
      </c>
      <c r="X56" s="168">
        <v>17000</v>
      </c>
      <c r="Z56" s="168">
        <v>716289.41</v>
      </c>
      <c r="AA56" s="168">
        <v>721691.76</v>
      </c>
      <c r="AC56" s="171">
        <f>SUM(J56:K56)</f>
        <v>716289.41</v>
      </c>
      <c r="AD56" s="171">
        <f>+Z56+220445</f>
        <v>936734.41</v>
      </c>
      <c r="AE56" s="171">
        <f>+AD56</f>
        <v>936734.41</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80327000</v>
      </c>
      <c r="G64" s="166">
        <f t="shared" ref="G64:O64" si="19">SUM(G56:G63)</f>
        <v>38751000</v>
      </c>
      <c r="H64" s="166">
        <f t="shared" si="19"/>
        <v>48581250</v>
      </c>
      <c r="I64" s="166">
        <f t="shared" si="19"/>
        <v>0</v>
      </c>
      <c r="J64" s="166">
        <f t="shared" si="19"/>
        <v>400111.38</v>
      </c>
      <c r="K64" s="166">
        <f t="shared" si="19"/>
        <v>316178.03000000003</v>
      </c>
      <c r="L64" s="166">
        <f t="shared" si="19"/>
        <v>79775</v>
      </c>
      <c r="M64" s="166">
        <f t="shared" si="19"/>
        <v>82085</v>
      </c>
      <c r="N64" s="166">
        <f t="shared" si="19"/>
        <v>4135</v>
      </c>
      <c r="O64" s="166">
        <f t="shared" si="19"/>
        <v>3851</v>
      </c>
      <c r="Q64" s="166">
        <f>SUM(Q56:Q63)/1</f>
        <v>96.762123337363974</v>
      </c>
      <c r="R64" s="166">
        <f>SUM(R56:R63)/1</f>
        <v>82.102838223837978</v>
      </c>
      <c r="S64" s="166">
        <f t="shared" ref="S64:X64" si="20">SUM(S56:S63)</f>
        <v>82.5</v>
      </c>
      <c r="T64" s="166">
        <f t="shared" si="20"/>
        <v>118.4</v>
      </c>
      <c r="U64" s="166">
        <f t="shared" si="20"/>
        <v>19426.118500604596</v>
      </c>
      <c r="V64" s="166">
        <f t="shared" si="20"/>
        <v>10062.58114775383</v>
      </c>
      <c r="W64" s="166">
        <f t="shared" si="20"/>
        <v>17000</v>
      </c>
      <c r="X64" s="166">
        <f t="shared" si="20"/>
        <v>17000</v>
      </c>
      <c r="Z64" s="166">
        <f t="shared" ref="Z64:AA64" si="21">SUM(Z56:Z63)</f>
        <v>716289.41</v>
      </c>
      <c r="AA64" s="166">
        <f t="shared" si="21"/>
        <v>721691.76</v>
      </c>
      <c r="AC64" s="166">
        <f t="shared" ref="AC64:AE64" si="22">SUM(AC56:AC63)</f>
        <v>716289.41</v>
      </c>
      <c r="AD64" s="166">
        <f t="shared" si="22"/>
        <v>936734.41</v>
      </c>
      <c r="AE64" s="166">
        <f t="shared" si="22"/>
        <v>936734.41</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44896</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f>13330000+15720000</f>
        <v>29050000</v>
      </c>
      <c r="G68" s="168">
        <f>454000+7962000</f>
        <v>8416000</v>
      </c>
      <c r="H68" s="168">
        <f>701830000*0.25</f>
        <v>175457500</v>
      </c>
      <c r="I68" s="168" t="s">
        <v>217</v>
      </c>
      <c r="J68" s="168">
        <f>1091.44+2015.16+273+300+148+14454+907+71686.4+3784+6740+97324.9</f>
        <v>198723.9</v>
      </c>
      <c r="K68" s="172">
        <f>90+1110+2635.7+21180+55564</f>
        <v>80579.7</v>
      </c>
      <c r="L68" s="168">
        <v>136550</v>
      </c>
      <c r="M68" s="168">
        <v>42578</v>
      </c>
      <c r="N68" s="168">
        <f>28+46+2</f>
        <v>76</v>
      </c>
      <c r="O68" s="67">
        <f>12+1</f>
        <v>13</v>
      </c>
      <c r="Q68" s="168">
        <f>+J68/N68</f>
        <v>2614.7881578947367</v>
      </c>
      <c r="R68" s="168">
        <f>+K68/O68</f>
        <v>6198.4384615384615</v>
      </c>
      <c r="S68" s="168">
        <v>96.2</v>
      </c>
      <c r="T68" s="168">
        <v>125.4</v>
      </c>
      <c r="U68" s="171">
        <f>+F68/N68</f>
        <v>382236.84210526315</v>
      </c>
      <c r="V68" s="171">
        <f>+G68/O68</f>
        <v>647384.61538461538</v>
      </c>
      <c r="W68" s="168">
        <v>18000</v>
      </c>
      <c r="X68" s="168">
        <v>18000</v>
      </c>
      <c r="Z68" s="168">
        <v>286054.92</v>
      </c>
      <c r="AA68" s="168">
        <v>827901.12</v>
      </c>
      <c r="AC68" s="171">
        <f>SUM(J68:K68)</f>
        <v>279303.59999999998</v>
      </c>
      <c r="AD68" s="171">
        <f>+Z68+67265</f>
        <v>353319.92</v>
      </c>
      <c r="AE68" s="171">
        <f>+AD68</f>
        <v>353319.92</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29050000</v>
      </c>
      <c r="G75" s="166">
        <f t="shared" ref="G75:M75" si="23">SUM(G68:G74)</f>
        <v>8416000</v>
      </c>
      <c r="H75" s="166">
        <f t="shared" si="23"/>
        <v>175457500</v>
      </c>
      <c r="I75" s="166">
        <f t="shared" si="23"/>
        <v>0</v>
      </c>
      <c r="J75" s="166">
        <f t="shared" si="23"/>
        <v>198723.9</v>
      </c>
      <c r="K75" s="166">
        <f t="shared" si="23"/>
        <v>80579.7</v>
      </c>
      <c r="L75" s="166">
        <f t="shared" si="23"/>
        <v>136550</v>
      </c>
      <c r="M75" s="166">
        <f t="shared" si="23"/>
        <v>42578</v>
      </c>
      <c r="N75" s="166">
        <f t="shared" ref="N75:O75" si="24">SUM(N68:N74)</f>
        <v>76</v>
      </c>
      <c r="O75" s="166">
        <f t="shared" si="24"/>
        <v>13</v>
      </c>
      <c r="Q75" s="166">
        <f>SUM(Q68:Q74)/1</f>
        <v>2614.7881578947367</v>
      </c>
      <c r="R75" s="166">
        <f>SUM(R68:R74)/1</f>
        <v>6198.4384615384615</v>
      </c>
      <c r="S75" s="166">
        <f t="shared" ref="S75:X75" si="25">SUM(S68:S74)</f>
        <v>96.2</v>
      </c>
      <c r="T75" s="166">
        <f t="shared" si="25"/>
        <v>125.4</v>
      </c>
      <c r="U75" s="166">
        <f t="shared" si="25"/>
        <v>382236.84210526315</v>
      </c>
      <c r="V75" s="166">
        <f t="shared" si="25"/>
        <v>647384.61538461538</v>
      </c>
      <c r="W75" s="166">
        <f t="shared" si="25"/>
        <v>18000</v>
      </c>
      <c r="X75" s="166">
        <f t="shared" si="25"/>
        <v>18000</v>
      </c>
      <c r="Z75" s="166">
        <f t="shared" ref="Z75:AA75" si="26">SUM(Z68:Z74)</f>
        <v>286054.92</v>
      </c>
      <c r="AA75" s="166">
        <f t="shared" si="26"/>
        <v>827901.12</v>
      </c>
      <c r="AC75" s="166">
        <f t="shared" ref="AC75:AE75" si="27">SUM(AC68:AC74)</f>
        <v>279303.59999999998</v>
      </c>
      <c r="AD75" s="166">
        <f t="shared" si="27"/>
        <v>353319.92</v>
      </c>
      <c r="AE75" s="166">
        <f t="shared" si="27"/>
        <v>353319.92</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44531</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f>70480002+21921000</f>
        <v>92401002</v>
      </c>
      <c r="G78" s="168">
        <f>355000+11203000</f>
        <v>11558000</v>
      </c>
      <c r="H78" s="168">
        <f>68069000*0.25</f>
        <v>17017250</v>
      </c>
      <c r="I78" s="11"/>
      <c r="J78" s="168">
        <f>1063.44+3621.8+266+300+148+14454+907+39356.6+3784+6740+135763.95</f>
        <v>206404.79</v>
      </c>
      <c r="K78" s="172">
        <f>90+1110+2015.8+21180+78251</f>
        <v>102646.8</v>
      </c>
      <c r="L78" s="168">
        <v>105186</v>
      </c>
      <c r="M78" s="168">
        <v>31058</v>
      </c>
      <c r="N78" s="168">
        <f>28+46+2</f>
        <v>76</v>
      </c>
      <c r="O78" s="67">
        <f>12+1</f>
        <v>13</v>
      </c>
      <c r="Q78" s="168">
        <f>+J78/N78</f>
        <v>2715.8525</v>
      </c>
      <c r="R78" s="168">
        <f>+K78/O78</f>
        <v>7895.9076923076927</v>
      </c>
      <c r="S78" s="168">
        <v>89.25</v>
      </c>
      <c r="T78" s="168">
        <v>120.01</v>
      </c>
      <c r="U78" s="171">
        <f>+F78/N78</f>
        <v>1215802.6578947369</v>
      </c>
      <c r="V78" s="171">
        <f>+G78/O78</f>
        <v>889076.92307692312</v>
      </c>
      <c r="W78" s="168">
        <v>17000</v>
      </c>
      <c r="X78" s="168">
        <v>17000</v>
      </c>
      <c r="Z78" s="168">
        <v>315802.90999999997</v>
      </c>
      <c r="AA78" s="168">
        <v>105210.89</v>
      </c>
      <c r="AC78" s="171">
        <f>SUM(J78:K78)</f>
        <v>309051.59000000003</v>
      </c>
      <c r="AD78" s="171">
        <f>+Z78+45074</f>
        <v>360876.91</v>
      </c>
      <c r="AE78" s="171">
        <f>+AD78</f>
        <v>360876.91</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92401002</v>
      </c>
      <c r="G85" s="166">
        <f t="shared" ref="G85:M85" si="28">SUM(G78:G84)</f>
        <v>11558000</v>
      </c>
      <c r="H85" s="166">
        <f t="shared" si="28"/>
        <v>17017250</v>
      </c>
      <c r="I85" s="166">
        <f t="shared" si="28"/>
        <v>0</v>
      </c>
      <c r="J85" s="166">
        <f t="shared" si="28"/>
        <v>206404.79</v>
      </c>
      <c r="K85" s="166">
        <f t="shared" si="28"/>
        <v>102646.8</v>
      </c>
      <c r="L85" s="166">
        <f t="shared" si="28"/>
        <v>105186</v>
      </c>
      <c r="M85" s="166">
        <f t="shared" si="28"/>
        <v>31058</v>
      </c>
      <c r="N85" s="166">
        <f t="shared" ref="N85:O85" si="29">SUM(N78:N84)</f>
        <v>76</v>
      </c>
      <c r="O85" s="166">
        <f t="shared" si="29"/>
        <v>13</v>
      </c>
      <c r="Q85" s="166">
        <f>SUM(Q78:Q84)/1</f>
        <v>2715.8525</v>
      </c>
      <c r="R85" s="166">
        <f>SUM(R78:R84)/1</f>
        <v>7895.9076923076927</v>
      </c>
      <c r="S85" s="166">
        <f t="shared" ref="S85:T85" si="30">SUM(S78:S84)/1</f>
        <v>89.25</v>
      </c>
      <c r="T85" s="166">
        <f t="shared" si="30"/>
        <v>120.01</v>
      </c>
      <c r="U85" s="166">
        <f t="shared" ref="U85:X85" si="31">SUM(U78:U84)</f>
        <v>1215802.6578947369</v>
      </c>
      <c r="V85" s="166">
        <f t="shared" si="31"/>
        <v>889076.92307692312</v>
      </c>
      <c r="W85" s="166">
        <f t="shared" si="31"/>
        <v>17000</v>
      </c>
      <c r="X85" s="166">
        <f t="shared" si="31"/>
        <v>17000</v>
      </c>
      <c r="Z85" s="166">
        <f t="shared" ref="Z85:AA85" si="32">SUM(Z78:Z84)</f>
        <v>315802.90999999997</v>
      </c>
      <c r="AA85" s="166">
        <f t="shared" si="32"/>
        <v>105210.89</v>
      </c>
      <c r="AC85" s="166">
        <f t="shared" ref="AC85:AE85" si="33">SUM(AC78:AC84)</f>
        <v>309051.59000000003</v>
      </c>
      <c r="AD85" s="166">
        <f t="shared" si="33"/>
        <v>360876.91</v>
      </c>
      <c r="AE85" s="166">
        <f t="shared" si="33"/>
        <v>360876.91</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43800</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14070000</v>
      </c>
      <c r="G88" s="168">
        <v>457000</v>
      </c>
      <c r="H88" s="168">
        <f>64775000*0.25</f>
        <v>16193750</v>
      </c>
      <c r="I88" s="11"/>
      <c r="J88" s="168">
        <f>979.72+3011.4+245+300+148+14454+907+77540.8</f>
        <v>97585.919999999998</v>
      </c>
      <c r="K88" s="168">
        <f>90+1110+2549.2</f>
        <v>3749.2</v>
      </c>
      <c r="L88" s="168">
        <v>26592</v>
      </c>
      <c r="M88" s="168">
        <v>27362</v>
      </c>
      <c r="N88" s="11">
        <f>28+46</f>
        <v>74</v>
      </c>
      <c r="O88" s="67">
        <v>12</v>
      </c>
      <c r="Q88" s="168">
        <f>+J88/N88</f>
        <v>1318.7286486486487</v>
      </c>
      <c r="R88" s="168">
        <f>+K88/O88</f>
        <v>312.43333333333334</v>
      </c>
      <c r="S88" s="168">
        <v>82.5</v>
      </c>
      <c r="T88" s="168">
        <v>118.4</v>
      </c>
      <c r="U88" s="171">
        <f>+F88/N88</f>
        <v>190135.13513513515</v>
      </c>
      <c r="V88" s="171">
        <f>+G88/O88</f>
        <v>38083.333333333336</v>
      </c>
      <c r="W88" s="168">
        <v>17000</v>
      </c>
      <c r="X88" s="168">
        <v>17000</v>
      </c>
      <c r="Z88" s="168">
        <v>102413.95</v>
      </c>
      <c r="AA88" s="168">
        <v>371942.35</v>
      </c>
      <c r="AC88" s="171">
        <f>SUM(J88:K88)</f>
        <v>101335.12</v>
      </c>
      <c r="AD88" s="171">
        <f>+Z88+73482</f>
        <v>175895.95</v>
      </c>
      <c r="AE88" s="171">
        <f>+AD88</f>
        <v>175895.95</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14070000</v>
      </c>
      <c r="G95" s="166">
        <f t="shared" ref="G95:M95" si="34">SUM(G88:G94)</f>
        <v>457000</v>
      </c>
      <c r="H95" s="166">
        <f t="shared" si="34"/>
        <v>16193750</v>
      </c>
      <c r="I95" s="166">
        <f t="shared" si="34"/>
        <v>0</v>
      </c>
      <c r="J95" s="166">
        <f t="shared" si="34"/>
        <v>97585.919999999998</v>
      </c>
      <c r="K95" s="166">
        <f t="shared" si="34"/>
        <v>3749.2</v>
      </c>
      <c r="L95" s="166">
        <f t="shared" si="34"/>
        <v>26592</v>
      </c>
      <c r="M95" s="166">
        <f t="shared" si="34"/>
        <v>27362</v>
      </c>
      <c r="N95" s="166">
        <f t="shared" ref="N95:O95" si="35">SUM(N88:N94)</f>
        <v>74</v>
      </c>
      <c r="O95" s="166">
        <f t="shared" si="35"/>
        <v>12</v>
      </c>
      <c r="Q95" s="166">
        <f>SUM(Q88:Q94)/1</f>
        <v>1318.7286486486487</v>
      </c>
      <c r="R95" s="166">
        <f>SUM(R88:R94)/1</f>
        <v>312.43333333333334</v>
      </c>
      <c r="S95" s="166">
        <f t="shared" ref="S95:T95" si="36">SUM(S88:S94)/1</f>
        <v>82.5</v>
      </c>
      <c r="T95" s="166">
        <f t="shared" si="36"/>
        <v>118.4</v>
      </c>
      <c r="U95" s="166">
        <f t="shared" ref="U95:X95" si="37">SUM(U88:U94)</f>
        <v>190135.13513513515</v>
      </c>
      <c r="V95" s="166">
        <f t="shared" si="37"/>
        <v>38083.333333333336</v>
      </c>
      <c r="W95" s="166">
        <f t="shared" si="37"/>
        <v>17000</v>
      </c>
      <c r="X95" s="166">
        <f t="shared" si="37"/>
        <v>17000</v>
      </c>
      <c r="Z95" s="166">
        <f t="shared" ref="Z95:AA95" si="38">SUM(Z88:Z94)</f>
        <v>102413.95</v>
      </c>
      <c r="AA95" s="166">
        <f t="shared" si="38"/>
        <v>371942.35</v>
      </c>
      <c r="AC95" s="166">
        <f t="shared" ref="AC95:AE95" si="39">SUM(AC88:AC94)</f>
        <v>101335.12</v>
      </c>
      <c r="AD95" s="166">
        <f t="shared" si="39"/>
        <v>175895.95</v>
      </c>
      <c r="AE95" s="166">
        <f t="shared" si="39"/>
        <v>175895.95</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4" t="s">
        <v>15</v>
      </c>
      <c r="L2" s="285"/>
      <c r="M2" s="9"/>
      <c r="N2" s="9"/>
      <c r="O2" s="284" t="s">
        <v>105</v>
      </c>
      <c r="P2" s="293"/>
      <c r="Q2" s="285"/>
      <c r="R2" s="9"/>
      <c r="S2" s="9"/>
      <c r="T2" s="9"/>
    </row>
    <row r="3" spans="1:20" x14ac:dyDescent="0.3">
      <c r="A3" s="121" t="s">
        <v>10</v>
      </c>
      <c r="B3" s="49"/>
      <c r="C3" s="49"/>
      <c r="D3" s="122"/>
      <c r="E3" s="4"/>
      <c r="F3" s="4"/>
      <c r="G3" s="4"/>
      <c r="H3" s="9"/>
      <c r="I3" s="4"/>
      <c r="K3" s="286"/>
      <c r="L3" s="287"/>
      <c r="M3" s="9"/>
      <c r="N3" s="9"/>
      <c r="O3" s="286"/>
      <c r="P3" s="294"/>
      <c r="Q3" s="287"/>
      <c r="R3" s="9"/>
      <c r="S3" s="9"/>
      <c r="T3" s="9"/>
    </row>
    <row r="4" spans="1:20" x14ac:dyDescent="0.3">
      <c r="A4" s="123" t="s">
        <v>11</v>
      </c>
      <c r="B4" s="50"/>
      <c r="C4" s="50"/>
      <c r="D4" s="124"/>
      <c r="E4" s="4"/>
      <c r="F4" s="4"/>
      <c r="G4" s="4"/>
      <c r="H4" s="9"/>
      <c r="I4" s="4"/>
      <c r="K4" s="286"/>
      <c r="L4" s="287"/>
      <c r="M4" s="9"/>
      <c r="N4" s="9"/>
      <c r="O4" s="286"/>
      <c r="P4" s="294"/>
      <c r="Q4" s="287"/>
      <c r="R4" s="9"/>
      <c r="S4" s="9"/>
      <c r="T4" s="9"/>
    </row>
    <row r="5" spans="1:20" ht="15" thickBot="1" x14ac:dyDescent="0.35">
      <c r="A5" s="123" t="s">
        <v>12</v>
      </c>
      <c r="B5" s="50"/>
      <c r="C5" s="50"/>
      <c r="D5" s="124"/>
      <c r="E5" s="4"/>
      <c r="F5" s="50"/>
      <c r="G5" s="4"/>
      <c r="H5" s="9"/>
      <c r="I5" s="4"/>
      <c r="K5" s="288"/>
      <c r="L5" s="289"/>
      <c r="M5" s="9"/>
      <c r="N5" s="9"/>
      <c r="O5" s="286"/>
      <c r="P5" s="294"/>
      <c r="Q5" s="287"/>
      <c r="R5" s="9"/>
      <c r="S5" s="9"/>
      <c r="T5" s="9"/>
    </row>
    <row r="6" spans="1:20" ht="15" thickBot="1" x14ac:dyDescent="0.35">
      <c r="A6" s="123" t="s">
        <v>13</v>
      </c>
      <c r="B6" s="50"/>
      <c r="C6" s="50"/>
      <c r="D6" s="124"/>
      <c r="E6" s="4"/>
      <c r="F6" s="50"/>
      <c r="G6" s="4"/>
      <c r="H6" s="9"/>
      <c r="I6" s="9"/>
      <c r="J6" s="9"/>
      <c r="L6" s="9"/>
      <c r="M6" s="9"/>
      <c r="N6" s="9"/>
      <c r="O6" s="288"/>
      <c r="P6" s="295"/>
      <c r="Q6" s="289"/>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2" t="s">
        <v>244</v>
      </c>
      <c r="B12" s="232"/>
      <c r="C12" s="232"/>
      <c r="D12" s="232"/>
      <c r="E12" s="232"/>
      <c r="F12" s="232"/>
      <c r="G12" s="232"/>
      <c r="H12" s="232"/>
      <c r="I12" s="4"/>
      <c r="K12" s="47"/>
      <c r="L12" s="4"/>
      <c r="M12" s="4"/>
      <c r="O12" s="47"/>
      <c r="P12" s="9"/>
      <c r="Q12" s="9"/>
      <c r="R12" s="9"/>
    </row>
    <row r="13" spans="1:20" x14ac:dyDescent="0.3">
      <c r="A13" s="232" t="s">
        <v>243</v>
      </c>
      <c r="B13" s="232"/>
      <c r="C13" s="232"/>
      <c r="D13" s="232"/>
      <c r="E13" s="232"/>
      <c r="F13" s="232"/>
      <c r="G13" s="232"/>
      <c r="H13" s="232"/>
      <c r="I13" s="4"/>
      <c r="K13" s="47"/>
      <c r="L13" s="4"/>
      <c r="M13" s="4"/>
      <c r="O13" s="47"/>
      <c r="P13" s="9"/>
      <c r="Q13" s="9"/>
      <c r="R13" s="9"/>
    </row>
    <row r="14" spans="1:20" x14ac:dyDescent="0.3">
      <c r="A14" s="232" t="s">
        <v>269</v>
      </c>
      <c r="B14" s="232"/>
      <c r="C14" s="232"/>
      <c r="D14" s="232"/>
      <c r="E14" s="232"/>
      <c r="F14" s="232"/>
      <c r="G14" s="232"/>
      <c r="H14" s="232"/>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0" t="s">
        <v>159</v>
      </c>
      <c r="P19" s="291"/>
      <c r="Q19" s="291"/>
      <c r="R19" s="292"/>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5"/>
      <c r="P20" s="266"/>
      <c r="Q20" s="266"/>
      <c r="R20" s="267"/>
      <c r="S20" s="4"/>
      <c r="T20" s="4"/>
      <c r="U20" s="4"/>
      <c r="V20" s="4"/>
    </row>
    <row r="21" spans="1:16384" s="5" customFormat="1" ht="13.2" x14ac:dyDescent="0.25">
      <c r="A21" s="52"/>
      <c r="B21" s="11"/>
      <c r="C21" s="11"/>
      <c r="D21" s="11"/>
      <c r="E21" s="11"/>
      <c r="F21" s="11"/>
      <c r="G21" s="11"/>
      <c r="H21" s="11"/>
      <c r="I21" s="11"/>
      <c r="J21" s="4"/>
      <c r="K21" s="11"/>
      <c r="L21" s="11"/>
      <c r="M21" s="11"/>
      <c r="N21" s="4"/>
      <c r="O21" s="265"/>
      <c r="P21" s="266"/>
      <c r="Q21" s="266"/>
      <c r="R21" s="267"/>
      <c r="S21" s="4"/>
      <c r="T21" s="4"/>
      <c r="U21" s="4"/>
      <c r="V21" s="4"/>
    </row>
    <row r="22" spans="1:16384" s="5" customFormat="1" ht="13.2" x14ac:dyDescent="0.25">
      <c r="A22" s="52"/>
      <c r="B22" s="11"/>
      <c r="C22" s="11"/>
      <c r="D22" s="11"/>
      <c r="E22" s="11"/>
      <c r="F22" s="11"/>
      <c r="G22" s="11"/>
      <c r="H22" s="11"/>
      <c r="I22" s="11"/>
      <c r="J22" s="4"/>
      <c r="K22" s="11"/>
      <c r="L22" s="11"/>
      <c r="M22" s="11"/>
      <c r="N22" s="4"/>
      <c r="O22" s="265"/>
      <c r="P22" s="266"/>
      <c r="Q22" s="266"/>
      <c r="R22" s="267"/>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5"/>
      <c r="P23" s="266"/>
      <c r="Q23" s="266"/>
      <c r="R23" s="267"/>
      <c r="S23" s="4"/>
      <c r="T23" s="4"/>
      <c r="U23" s="4"/>
      <c r="V23" s="4"/>
    </row>
    <row r="24" spans="1:16384" s="5" customFormat="1" ht="13.2" x14ac:dyDescent="0.25">
      <c r="A24" s="52"/>
      <c r="B24" s="11"/>
      <c r="C24" s="11"/>
      <c r="D24" s="11"/>
      <c r="E24" s="11"/>
      <c r="F24" s="11"/>
      <c r="G24" s="11"/>
      <c r="H24" s="11"/>
      <c r="I24" s="11"/>
      <c r="J24" s="4"/>
      <c r="K24" s="11"/>
      <c r="L24" s="11"/>
      <c r="M24" s="11"/>
      <c r="N24" s="4"/>
      <c r="O24" s="265"/>
      <c r="P24" s="266"/>
      <c r="Q24" s="266"/>
      <c r="R24" s="267"/>
      <c r="S24" s="4"/>
      <c r="T24" s="4"/>
      <c r="U24" s="4"/>
      <c r="V24" s="4"/>
    </row>
    <row r="25" spans="1:16384" s="5" customFormat="1" ht="13.2" x14ac:dyDescent="0.25">
      <c r="A25" s="52"/>
      <c r="B25" s="11"/>
      <c r="C25" s="11"/>
      <c r="D25" s="11"/>
      <c r="E25" s="11"/>
      <c r="F25" s="11"/>
      <c r="G25" s="11"/>
      <c r="H25" s="11"/>
      <c r="I25" s="11"/>
      <c r="J25" s="4"/>
      <c r="K25" s="11"/>
      <c r="L25" s="11"/>
      <c r="M25" s="11"/>
      <c r="N25" s="4"/>
      <c r="O25" s="265"/>
      <c r="P25" s="266"/>
      <c r="Q25" s="266"/>
      <c r="R25" s="267"/>
      <c r="S25" s="4"/>
      <c r="T25" s="4"/>
      <c r="U25" s="4"/>
      <c r="V25" s="4"/>
    </row>
    <row r="26" spans="1:16384" s="5" customFormat="1" ht="13.2" x14ac:dyDescent="0.25">
      <c r="A26" s="52"/>
      <c r="B26" s="11"/>
      <c r="C26" s="11"/>
      <c r="D26" s="11"/>
      <c r="E26" s="11"/>
      <c r="F26" s="11"/>
      <c r="G26" s="11"/>
      <c r="H26" s="11"/>
      <c r="I26" s="11"/>
      <c r="J26" s="4"/>
      <c r="K26" s="11"/>
      <c r="L26" s="11"/>
      <c r="M26" s="11"/>
      <c r="N26" s="4"/>
      <c r="O26" s="265"/>
      <c r="P26" s="266"/>
      <c r="Q26" s="266"/>
      <c r="R26" s="267"/>
      <c r="S26" s="4"/>
      <c r="T26" s="4"/>
      <c r="U26" s="4"/>
      <c r="V26" s="4"/>
    </row>
    <row r="27" spans="1:16384" s="5" customFormat="1" ht="13.8" thickBot="1" x14ac:dyDescent="0.3">
      <c r="A27" s="52"/>
      <c r="B27" s="90"/>
      <c r="C27" s="90"/>
      <c r="D27" s="90"/>
      <c r="E27" s="90"/>
      <c r="F27" s="90"/>
      <c r="G27" s="90"/>
      <c r="H27" s="90"/>
      <c r="I27" s="90"/>
      <c r="J27" s="4"/>
      <c r="K27" s="90"/>
      <c r="L27" s="90"/>
      <c r="M27" s="90"/>
      <c r="N27" s="4"/>
      <c r="O27" s="268"/>
      <c r="P27" s="269"/>
      <c r="Q27" s="269"/>
      <c r="R27" s="27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1"/>
      <c r="P28" s="272"/>
      <c r="Q28" s="272"/>
      <c r="R28" s="27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7" t="s">
        <v>159</v>
      </c>
      <c r="P30" s="278"/>
      <c r="Q30" s="278"/>
      <c r="R30" s="27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5"/>
      <c r="P31" s="266"/>
      <c r="Q31" s="266"/>
      <c r="R31" s="267"/>
      <c r="S31" s="283"/>
      <c r="T31" s="283"/>
      <c r="U31" s="283"/>
      <c r="V31" s="283"/>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3">
      <c r="A32" s="52"/>
      <c r="B32" s="11"/>
      <c r="C32" s="11"/>
      <c r="D32" s="11"/>
      <c r="E32" s="11"/>
      <c r="F32" s="11"/>
      <c r="G32" s="11"/>
      <c r="H32" s="11"/>
      <c r="I32" s="11"/>
      <c r="J32" s="4"/>
      <c r="K32" s="11"/>
      <c r="L32" s="11"/>
      <c r="M32" s="11"/>
      <c r="N32" s="4"/>
      <c r="O32" s="265"/>
      <c r="P32" s="266"/>
      <c r="Q32" s="266"/>
      <c r="R32" s="267"/>
      <c r="S32" s="283"/>
      <c r="T32" s="283"/>
      <c r="U32" s="283"/>
      <c r="V32" s="283"/>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3">
      <c r="A33" s="52"/>
      <c r="B33" s="11"/>
      <c r="C33" s="11"/>
      <c r="D33" s="11"/>
      <c r="E33" s="11"/>
      <c r="F33" s="11"/>
      <c r="G33" s="11"/>
      <c r="H33" s="11"/>
      <c r="I33" s="11"/>
      <c r="J33" s="4"/>
      <c r="K33" s="11"/>
      <c r="L33" s="11"/>
      <c r="M33" s="11"/>
      <c r="N33" s="4"/>
      <c r="O33" s="265"/>
      <c r="P33" s="266"/>
      <c r="Q33" s="266"/>
      <c r="R33" s="267"/>
      <c r="S33" s="283"/>
      <c r="T33" s="283"/>
      <c r="U33" s="283"/>
      <c r="V33" s="283"/>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3">
      <c r="A34" s="52"/>
      <c r="B34" s="11"/>
      <c r="C34" s="11"/>
      <c r="D34" s="11"/>
      <c r="E34" s="11"/>
      <c r="F34" s="11"/>
      <c r="G34" s="11"/>
      <c r="H34" s="11"/>
      <c r="I34" s="11"/>
      <c r="J34" s="4"/>
      <c r="K34" s="11"/>
      <c r="L34" s="11"/>
      <c r="M34" s="11"/>
      <c r="N34" s="4"/>
      <c r="O34" s="265"/>
      <c r="P34" s="266"/>
      <c r="Q34" s="266"/>
      <c r="R34" s="267"/>
      <c r="S34" s="283"/>
      <c r="T34" s="283"/>
      <c r="U34" s="283"/>
      <c r="V34" s="283"/>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x14ac:dyDescent="0.3">
      <c r="A35" s="52"/>
      <c r="B35" s="11"/>
      <c r="C35" s="11"/>
      <c r="D35" s="11"/>
      <c r="E35" s="11"/>
      <c r="F35" s="11"/>
      <c r="G35" s="11"/>
      <c r="H35" s="11"/>
      <c r="I35" s="11"/>
      <c r="J35" s="4"/>
      <c r="K35" s="11"/>
      <c r="L35" s="11"/>
      <c r="M35" s="11"/>
      <c r="N35" s="4"/>
      <c r="O35" s="265"/>
      <c r="P35" s="266"/>
      <c r="Q35" s="266"/>
      <c r="R35" s="267"/>
      <c r="S35" s="283"/>
      <c r="T35" s="283"/>
      <c r="U35" s="283"/>
      <c r="V35" s="283"/>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x14ac:dyDescent="0.3">
      <c r="A36" s="52"/>
      <c r="B36" s="11"/>
      <c r="C36" s="11"/>
      <c r="D36" s="11"/>
      <c r="E36" s="11"/>
      <c r="F36" s="11"/>
      <c r="G36" s="11"/>
      <c r="H36" s="11"/>
      <c r="I36" s="11"/>
      <c r="J36" s="4"/>
      <c r="K36" s="11"/>
      <c r="L36" s="11"/>
      <c r="M36" s="11"/>
      <c r="N36" s="4"/>
      <c r="O36" s="265"/>
      <c r="P36" s="266"/>
      <c r="Q36" s="266"/>
      <c r="R36" s="267"/>
      <c r="S36" s="283"/>
      <c r="T36" s="283"/>
      <c r="U36" s="283"/>
      <c r="V36" s="283"/>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customFormat="1" x14ac:dyDescent="0.3">
      <c r="A37" s="52"/>
      <c r="B37" s="11"/>
      <c r="C37" s="11"/>
      <c r="D37" s="11"/>
      <c r="E37" s="11"/>
      <c r="F37" s="11"/>
      <c r="G37" s="11"/>
      <c r="H37" s="11"/>
      <c r="I37" s="11"/>
      <c r="J37" s="4"/>
      <c r="K37" s="11"/>
      <c r="L37" s="11"/>
      <c r="M37" s="11"/>
      <c r="N37" s="4"/>
      <c r="O37" s="265"/>
      <c r="P37" s="266"/>
      <c r="Q37" s="266"/>
      <c r="R37" s="267"/>
      <c r="S37" s="283"/>
      <c r="T37" s="283"/>
      <c r="U37" s="283"/>
      <c r="V37" s="283"/>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c r="XEG37" s="282"/>
      <c r="XEH37" s="282"/>
      <c r="XEI37" s="282"/>
      <c r="XEJ37" s="282"/>
      <c r="XEK37" s="282"/>
      <c r="XEL37" s="282"/>
      <c r="XEM37" s="282"/>
      <c r="XEN37" s="282"/>
      <c r="XEO37" s="282"/>
      <c r="XEP37" s="282"/>
      <c r="XEQ37" s="282"/>
      <c r="XER37" s="282"/>
      <c r="XES37" s="282"/>
      <c r="XET37" s="282"/>
      <c r="XEU37" s="282"/>
      <c r="XEV37" s="282"/>
      <c r="XEW37" s="282"/>
      <c r="XEX37" s="282"/>
      <c r="XEY37" s="282"/>
      <c r="XEZ37" s="282"/>
      <c r="XFA37" s="282"/>
      <c r="XFB37" s="282"/>
      <c r="XFC37" s="282"/>
      <c r="XFD37" s="282"/>
    </row>
    <row r="38" spans="1:16384" customFormat="1" ht="15" thickBot="1" x14ac:dyDescent="0.35">
      <c r="A38" s="52"/>
      <c r="B38" s="90"/>
      <c r="C38" s="90"/>
      <c r="D38" s="90"/>
      <c r="E38" s="90"/>
      <c r="F38" s="90"/>
      <c r="G38" s="90"/>
      <c r="H38" s="90"/>
      <c r="I38" s="90"/>
      <c r="J38" s="4"/>
      <c r="K38" s="90"/>
      <c r="L38" s="90"/>
      <c r="M38" s="90"/>
      <c r="N38" s="4"/>
      <c r="O38" s="274"/>
      <c r="P38" s="275"/>
      <c r="Q38" s="275"/>
      <c r="R38" s="276"/>
      <c r="S38" s="283"/>
      <c r="T38" s="283"/>
      <c r="U38" s="283"/>
      <c r="V38" s="283"/>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customFormat="1" ht="15" thickBot="1" x14ac:dyDescent="0.35">
      <c r="A39" s="52"/>
      <c r="B39" s="91" t="s">
        <v>130</v>
      </c>
      <c r="C39" s="92"/>
      <c r="D39" s="92"/>
      <c r="E39" s="92"/>
      <c r="F39" s="93"/>
      <c r="G39" s="93"/>
      <c r="H39" s="93"/>
      <c r="I39" s="97" t="s">
        <v>132</v>
      </c>
      <c r="J39" s="4"/>
      <c r="K39" s="93"/>
      <c r="L39" s="93"/>
      <c r="M39" s="93"/>
      <c r="N39" s="4"/>
      <c r="O39" s="271"/>
      <c r="P39" s="272"/>
      <c r="Q39" s="272"/>
      <c r="R39" s="273"/>
      <c r="S39" s="283"/>
      <c r="T39" s="283"/>
      <c r="U39" s="283"/>
      <c r="V39" s="283"/>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c r="XEG39" s="282"/>
      <c r="XEH39" s="282"/>
      <c r="XEI39" s="282"/>
      <c r="XEJ39" s="282"/>
      <c r="XEK39" s="282"/>
      <c r="XEL39" s="282"/>
      <c r="XEM39" s="282"/>
      <c r="XEN39" s="282"/>
      <c r="XEO39" s="282"/>
      <c r="XEP39" s="282"/>
      <c r="XEQ39" s="282"/>
      <c r="XER39" s="282"/>
      <c r="XES39" s="282"/>
      <c r="XET39" s="282"/>
      <c r="XEU39" s="282"/>
      <c r="XEV39" s="282"/>
      <c r="XEW39" s="282"/>
      <c r="XEX39" s="282"/>
      <c r="XEY39" s="282"/>
      <c r="XEZ39" s="282"/>
      <c r="XFA39" s="282"/>
      <c r="XFB39" s="282"/>
      <c r="XFC39" s="282"/>
      <c r="XFD39" s="28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7" t="s">
        <v>159</v>
      </c>
      <c r="P41" s="278"/>
      <c r="Q41" s="278"/>
      <c r="R41" s="27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5"/>
      <c r="P42" s="266"/>
      <c r="Q42" s="266"/>
      <c r="R42" s="26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5"/>
      <c r="P43" s="266"/>
      <c r="Q43" s="266"/>
      <c r="R43" s="26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5"/>
      <c r="P44" s="266"/>
      <c r="Q44" s="266"/>
      <c r="R44" s="26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5"/>
      <c r="P45" s="266"/>
      <c r="Q45" s="266"/>
      <c r="R45" s="26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5"/>
      <c r="P47" s="266"/>
      <c r="Q47" s="266"/>
      <c r="R47" s="2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5"/>
      <c r="P48" s="266"/>
      <c r="Q48" s="266"/>
      <c r="R48" s="2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4"/>
      <c r="P49" s="275"/>
      <c r="Q49" s="275"/>
      <c r="R49" s="276"/>
      <c r="U49" s="4"/>
      <c r="V49" s="4"/>
    </row>
    <row r="50" spans="1:22" ht="15" thickBot="1" x14ac:dyDescent="0.35">
      <c r="A50" s="52"/>
      <c r="B50" s="91" t="s">
        <v>130</v>
      </c>
      <c r="C50" s="92"/>
      <c r="D50" s="92"/>
      <c r="E50" s="92"/>
      <c r="F50" s="93"/>
      <c r="G50" s="93"/>
      <c r="H50" s="93"/>
      <c r="I50" s="97" t="s">
        <v>132</v>
      </c>
      <c r="K50" s="93"/>
      <c r="L50" s="93"/>
      <c r="M50" s="93"/>
      <c r="O50" s="271"/>
      <c r="P50" s="272"/>
      <c r="Q50" s="272"/>
      <c r="R50" s="27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0" t="s">
        <v>159</v>
      </c>
      <c r="P52" s="281"/>
      <c r="Q52" s="281"/>
      <c r="R52" s="281"/>
      <c r="U52" s="4"/>
      <c r="V52" s="4"/>
    </row>
    <row r="53" spans="1:22" x14ac:dyDescent="0.3">
      <c r="A53" s="52"/>
      <c r="B53" s="11"/>
      <c r="C53" s="11"/>
      <c r="D53" s="11"/>
      <c r="E53" s="11"/>
      <c r="F53" s="11"/>
      <c r="G53" s="11"/>
      <c r="H53" s="11"/>
      <c r="I53" s="11"/>
      <c r="K53" s="11"/>
      <c r="L53" s="11"/>
      <c r="M53" s="11"/>
      <c r="O53" s="265"/>
      <c r="P53" s="266"/>
      <c r="Q53" s="266"/>
      <c r="R53" s="267"/>
      <c r="U53" s="4"/>
      <c r="V53" s="4"/>
    </row>
    <row r="54" spans="1:22" x14ac:dyDescent="0.3">
      <c r="A54" s="52"/>
      <c r="B54" s="11"/>
      <c r="C54" s="11"/>
      <c r="D54" s="11"/>
      <c r="E54" s="11"/>
      <c r="F54" s="11"/>
      <c r="G54" s="11"/>
      <c r="H54" s="11"/>
      <c r="I54" s="11"/>
      <c r="K54" s="11"/>
      <c r="L54" s="11"/>
      <c r="M54" s="11"/>
      <c r="O54" s="265"/>
      <c r="P54" s="266"/>
      <c r="Q54" s="266"/>
      <c r="R54" s="267"/>
      <c r="U54" s="4"/>
      <c r="V54" s="4"/>
    </row>
    <row r="55" spans="1:22" x14ac:dyDescent="0.3">
      <c r="A55" s="52"/>
      <c r="B55" s="11"/>
      <c r="C55" s="11"/>
      <c r="D55" s="11"/>
      <c r="E55" s="11"/>
      <c r="F55" s="11"/>
      <c r="G55" s="11"/>
      <c r="H55" s="11"/>
      <c r="I55" s="11"/>
      <c r="K55" s="11"/>
      <c r="L55" s="11"/>
      <c r="M55" s="11"/>
      <c r="O55" s="265"/>
      <c r="P55" s="266"/>
      <c r="Q55" s="266"/>
      <c r="R55" s="267"/>
      <c r="U55" s="4"/>
      <c r="V55" s="4"/>
    </row>
    <row r="56" spans="1:22" x14ac:dyDescent="0.3">
      <c r="A56" s="52"/>
      <c r="B56" s="11"/>
      <c r="C56" s="11"/>
      <c r="D56" s="11"/>
      <c r="E56" s="11"/>
      <c r="F56" s="11"/>
      <c r="G56" s="11"/>
      <c r="H56" s="11"/>
      <c r="I56" s="11"/>
      <c r="K56" s="11"/>
      <c r="L56" s="11"/>
      <c r="M56" s="11"/>
      <c r="O56" s="265"/>
      <c r="P56" s="266"/>
      <c r="Q56" s="266"/>
      <c r="R56" s="267"/>
      <c r="U56" s="4"/>
      <c r="V56" s="4"/>
    </row>
    <row r="57" spans="1:22" x14ac:dyDescent="0.3">
      <c r="A57" s="52"/>
      <c r="B57" s="11"/>
      <c r="C57" s="11"/>
      <c r="D57" s="11"/>
      <c r="E57" s="11"/>
      <c r="F57" s="11"/>
      <c r="G57" s="11"/>
      <c r="H57" s="11"/>
      <c r="I57" s="11"/>
      <c r="K57" s="11"/>
      <c r="L57" s="11"/>
      <c r="M57" s="11"/>
      <c r="O57" s="265"/>
      <c r="P57" s="266"/>
      <c r="Q57" s="266"/>
      <c r="R57" s="267"/>
      <c r="U57" s="4"/>
      <c r="V57" s="4"/>
    </row>
    <row r="58" spans="1:22" x14ac:dyDescent="0.3">
      <c r="A58" s="52"/>
      <c r="B58" s="11"/>
      <c r="C58" s="11"/>
      <c r="D58" s="11"/>
      <c r="E58" s="11"/>
      <c r="F58" s="11"/>
      <c r="G58" s="11"/>
      <c r="H58" s="11"/>
      <c r="I58" s="11"/>
      <c r="K58" s="11"/>
      <c r="L58" s="11"/>
      <c r="M58" s="11"/>
      <c r="O58" s="265"/>
      <c r="P58" s="266"/>
      <c r="Q58" s="266"/>
      <c r="R58" s="267"/>
      <c r="U58" s="4"/>
      <c r="V58" s="4"/>
    </row>
    <row r="59" spans="1:22" ht="15" thickBot="1" x14ac:dyDescent="0.35">
      <c r="A59" s="52"/>
      <c r="B59" s="90"/>
      <c r="C59" s="90"/>
      <c r="D59" s="90"/>
      <c r="E59" s="90"/>
      <c r="F59" s="90"/>
      <c r="G59" s="90"/>
      <c r="H59" s="90"/>
      <c r="I59" s="90"/>
      <c r="K59" s="90"/>
      <c r="L59" s="90"/>
      <c r="M59" s="90"/>
      <c r="O59" s="268"/>
      <c r="P59" s="269"/>
      <c r="Q59" s="269"/>
      <c r="R59" s="270"/>
      <c r="U59" s="4"/>
      <c r="V59" s="4"/>
    </row>
    <row r="60" spans="1:22" ht="15" thickBot="1" x14ac:dyDescent="0.35">
      <c r="A60" s="52"/>
      <c r="B60" s="91" t="s">
        <v>130</v>
      </c>
      <c r="C60" s="92"/>
      <c r="D60" s="92"/>
      <c r="E60" s="92"/>
      <c r="F60" s="93"/>
      <c r="G60" s="93"/>
      <c r="H60" s="93"/>
      <c r="I60" s="97" t="s">
        <v>132</v>
      </c>
      <c r="K60" s="93"/>
      <c r="L60" s="93"/>
      <c r="M60" s="93"/>
      <c r="O60" s="271"/>
      <c r="P60" s="272"/>
      <c r="Q60" s="272"/>
      <c r="R60" s="27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2" t="s">
        <v>159</v>
      </c>
      <c r="P62" s="263"/>
      <c r="Q62" s="263"/>
      <c r="R62" s="264"/>
      <c r="U62" s="4"/>
      <c r="V62" s="4"/>
    </row>
    <row r="63" spans="1:22" x14ac:dyDescent="0.3">
      <c r="A63" s="52"/>
      <c r="B63" s="11"/>
      <c r="C63" s="11"/>
      <c r="D63" s="11"/>
      <c r="E63" s="11"/>
      <c r="F63" s="11"/>
      <c r="G63" s="11"/>
      <c r="H63" s="11"/>
      <c r="I63" s="11"/>
      <c r="K63" s="11"/>
      <c r="L63" s="11"/>
      <c r="M63" s="11"/>
      <c r="O63" s="265"/>
      <c r="P63" s="266"/>
      <c r="Q63" s="266"/>
      <c r="R63" s="267"/>
      <c r="U63" s="4"/>
      <c r="V63" s="4"/>
    </row>
    <row r="64" spans="1:22" x14ac:dyDescent="0.3">
      <c r="A64" s="52"/>
      <c r="B64" s="11"/>
      <c r="C64" s="11"/>
      <c r="D64" s="11"/>
      <c r="E64" s="11"/>
      <c r="F64" s="11"/>
      <c r="G64" s="11"/>
      <c r="H64" s="11"/>
      <c r="I64" s="11"/>
      <c r="K64" s="11"/>
      <c r="L64" s="11"/>
      <c r="M64" s="11"/>
      <c r="O64" s="265"/>
      <c r="P64" s="266"/>
      <c r="Q64" s="266"/>
      <c r="R64" s="267"/>
      <c r="U64" s="4"/>
      <c r="V64" s="4"/>
    </row>
    <row r="65" spans="1:22" x14ac:dyDescent="0.3">
      <c r="A65" s="52"/>
      <c r="B65" s="11"/>
      <c r="C65" s="11"/>
      <c r="D65" s="11"/>
      <c r="E65" s="11"/>
      <c r="F65" s="11"/>
      <c r="G65" s="11"/>
      <c r="H65" s="11"/>
      <c r="I65" s="11"/>
      <c r="K65" s="11"/>
      <c r="L65" s="11"/>
      <c r="M65" s="11"/>
      <c r="O65" s="265"/>
      <c r="P65" s="266"/>
      <c r="Q65" s="266"/>
      <c r="R65" s="267"/>
      <c r="U65" s="4"/>
      <c r="V65" s="4"/>
    </row>
    <row r="66" spans="1:22" x14ac:dyDescent="0.3">
      <c r="A66" s="52"/>
      <c r="B66" s="11"/>
      <c r="C66" s="11"/>
      <c r="D66" s="11"/>
      <c r="E66" s="11"/>
      <c r="F66" s="11"/>
      <c r="G66" s="11"/>
      <c r="H66" s="11"/>
      <c r="I66" s="11"/>
      <c r="K66" s="11"/>
      <c r="L66" s="11"/>
      <c r="M66" s="11"/>
      <c r="O66" s="265"/>
      <c r="P66" s="266"/>
      <c r="Q66" s="266"/>
      <c r="R66" s="267"/>
      <c r="U66" s="4"/>
      <c r="V66" s="4"/>
    </row>
    <row r="67" spans="1:22" x14ac:dyDescent="0.3">
      <c r="A67" s="52"/>
      <c r="B67" s="11"/>
      <c r="C67" s="11"/>
      <c r="D67" s="11"/>
      <c r="E67" s="11"/>
      <c r="F67" s="11"/>
      <c r="G67" s="11"/>
      <c r="H67" s="11"/>
      <c r="I67" s="11"/>
      <c r="K67" s="11"/>
      <c r="L67" s="11"/>
      <c r="M67" s="11"/>
      <c r="O67" s="265"/>
      <c r="P67" s="266"/>
      <c r="Q67" s="266"/>
      <c r="R67" s="267"/>
      <c r="U67" s="4"/>
      <c r="V67" s="4"/>
    </row>
    <row r="68" spans="1:22" x14ac:dyDescent="0.3">
      <c r="A68" s="52"/>
      <c r="B68" s="11"/>
      <c r="C68" s="11"/>
      <c r="D68" s="11"/>
      <c r="E68" s="11"/>
      <c r="F68" s="11"/>
      <c r="G68" s="11"/>
      <c r="H68" s="11"/>
      <c r="I68" s="11"/>
      <c r="K68" s="11"/>
      <c r="L68" s="11"/>
      <c r="M68" s="11"/>
      <c r="O68" s="265"/>
      <c r="P68" s="266"/>
      <c r="Q68" s="266"/>
      <c r="R68" s="267"/>
      <c r="U68" s="4"/>
      <c r="V68" s="4"/>
    </row>
    <row r="69" spans="1:22" ht="15" thickBot="1" x14ac:dyDescent="0.35">
      <c r="A69" s="52"/>
      <c r="B69" s="90"/>
      <c r="C69" s="90"/>
      <c r="D69" s="90"/>
      <c r="E69" s="90"/>
      <c r="F69" s="90"/>
      <c r="G69" s="90"/>
      <c r="H69" s="90"/>
      <c r="I69" s="90"/>
      <c r="K69" s="90"/>
      <c r="L69" s="90"/>
      <c r="M69" s="90"/>
      <c r="O69" s="268"/>
      <c r="P69" s="269"/>
      <c r="Q69" s="269"/>
      <c r="R69" s="270"/>
      <c r="U69" s="4"/>
      <c r="V69" s="4"/>
    </row>
    <row r="70" spans="1:22" ht="15" thickBot="1" x14ac:dyDescent="0.35">
      <c r="A70" s="52"/>
      <c r="B70" s="91" t="s">
        <v>130</v>
      </c>
      <c r="C70" s="92"/>
      <c r="D70" s="92"/>
      <c r="E70" s="92"/>
      <c r="F70" s="93"/>
      <c r="G70" s="93"/>
      <c r="H70" s="93"/>
      <c r="I70" s="97" t="s">
        <v>132</v>
      </c>
      <c r="K70" s="93"/>
      <c r="L70" s="93"/>
      <c r="M70" s="93"/>
      <c r="O70" s="271"/>
      <c r="P70" s="272"/>
      <c r="Q70" s="272"/>
      <c r="R70" s="27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2" t="s">
        <v>159</v>
      </c>
      <c r="P72" s="263"/>
      <c r="Q72" s="263"/>
      <c r="R72" s="264"/>
      <c r="U72" s="4"/>
      <c r="V72" s="4"/>
    </row>
    <row r="73" spans="1:22" x14ac:dyDescent="0.3">
      <c r="A73" s="52"/>
      <c r="B73" s="11"/>
      <c r="C73" s="11"/>
      <c r="D73" s="11"/>
      <c r="E73" s="11"/>
      <c r="F73" s="11"/>
      <c r="G73" s="11"/>
      <c r="H73" s="11"/>
      <c r="I73" s="11"/>
      <c r="K73" s="11"/>
      <c r="L73" s="11"/>
      <c r="M73" s="11"/>
      <c r="O73" s="265"/>
      <c r="P73" s="266"/>
      <c r="Q73" s="266"/>
      <c r="R73" s="267"/>
      <c r="U73" s="4"/>
      <c r="V73" s="4"/>
    </row>
    <row r="74" spans="1:22" x14ac:dyDescent="0.3">
      <c r="A74" s="52"/>
      <c r="B74" s="11"/>
      <c r="C74" s="11"/>
      <c r="D74" s="11"/>
      <c r="E74" s="11"/>
      <c r="F74" s="11"/>
      <c r="G74" s="11"/>
      <c r="H74" s="11"/>
      <c r="I74" s="11"/>
      <c r="K74" s="11"/>
      <c r="L74" s="11"/>
      <c r="M74" s="11"/>
      <c r="O74" s="265"/>
      <c r="P74" s="266"/>
      <c r="Q74" s="266"/>
      <c r="R74" s="267"/>
      <c r="U74" s="4"/>
      <c r="V74" s="4"/>
    </row>
    <row r="75" spans="1:22" x14ac:dyDescent="0.3">
      <c r="A75" s="52"/>
      <c r="B75" s="11"/>
      <c r="C75" s="11"/>
      <c r="D75" s="11"/>
      <c r="E75" s="11"/>
      <c r="F75" s="11"/>
      <c r="G75" s="11"/>
      <c r="H75" s="11"/>
      <c r="I75" s="11"/>
      <c r="K75" s="11"/>
      <c r="L75" s="11"/>
      <c r="M75" s="11"/>
      <c r="O75" s="265"/>
      <c r="P75" s="266"/>
      <c r="Q75" s="266"/>
      <c r="R75" s="267"/>
      <c r="U75" s="4"/>
      <c r="V75" s="4"/>
    </row>
    <row r="76" spans="1:22" x14ac:dyDescent="0.3">
      <c r="A76" s="52"/>
      <c r="B76" s="11"/>
      <c r="C76" s="11"/>
      <c r="D76" s="11"/>
      <c r="E76" s="11"/>
      <c r="F76" s="11"/>
      <c r="G76" s="11"/>
      <c r="H76" s="11"/>
      <c r="I76" s="11"/>
      <c r="K76" s="11"/>
      <c r="L76" s="11"/>
      <c r="M76" s="11"/>
      <c r="O76" s="265"/>
      <c r="P76" s="266"/>
      <c r="Q76" s="266"/>
      <c r="R76" s="267"/>
      <c r="U76" s="4"/>
      <c r="V76" s="4"/>
    </row>
    <row r="77" spans="1:22" x14ac:dyDescent="0.3">
      <c r="A77" s="52"/>
      <c r="B77" s="11"/>
      <c r="C77" s="11"/>
      <c r="D77" s="11"/>
      <c r="E77" s="11"/>
      <c r="F77" s="11"/>
      <c r="G77" s="11"/>
      <c r="H77" s="11"/>
      <c r="I77" s="11"/>
      <c r="K77" s="11"/>
      <c r="L77" s="11"/>
      <c r="M77" s="11"/>
      <c r="O77" s="265"/>
      <c r="P77" s="266"/>
      <c r="Q77" s="266"/>
      <c r="R77" s="267"/>
      <c r="U77" s="4"/>
      <c r="V77" s="4"/>
    </row>
    <row r="78" spans="1:22" x14ac:dyDescent="0.3">
      <c r="A78" s="52"/>
      <c r="B78" s="11"/>
      <c r="C78" s="11"/>
      <c r="D78" s="11"/>
      <c r="E78" s="11"/>
      <c r="F78" s="11"/>
      <c r="G78" s="11"/>
      <c r="H78" s="11"/>
      <c r="I78" s="11"/>
      <c r="K78" s="11"/>
      <c r="L78" s="11"/>
      <c r="M78" s="11"/>
      <c r="O78" s="265"/>
      <c r="P78" s="266"/>
      <c r="Q78" s="266"/>
      <c r="R78" s="267"/>
      <c r="U78" s="4"/>
      <c r="V78" s="4"/>
    </row>
    <row r="79" spans="1:22" ht="15" thickBot="1" x14ac:dyDescent="0.35">
      <c r="A79" s="52"/>
      <c r="B79" s="90"/>
      <c r="C79" s="90"/>
      <c r="D79" s="90"/>
      <c r="E79" s="90"/>
      <c r="F79" s="90"/>
      <c r="G79" s="90"/>
      <c r="H79" s="90"/>
      <c r="I79" s="90"/>
      <c r="K79" s="90"/>
      <c r="L79" s="90"/>
      <c r="M79" s="90"/>
      <c r="O79" s="268"/>
      <c r="P79" s="269"/>
      <c r="Q79" s="269"/>
      <c r="R79" s="270"/>
      <c r="U79" s="4"/>
      <c r="V79" s="4"/>
    </row>
    <row r="80" spans="1:22" ht="15" thickBot="1" x14ac:dyDescent="0.35">
      <c r="A80" s="52"/>
      <c r="B80" s="91" t="s">
        <v>130</v>
      </c>
      <c r="C80" s="92"/>
      <c r="D80" s="92"/>
      <c r="E80" s="92"/>
      <c r="F80" s="93"/>
      <c r="G80" s="93"/>
      <c r="H80" s="93"/>
      <c r="I80" s="97" t="s">
        <v>132</v>
      </c>
      <c r="K80" s="95"/>
      <c r="L80" s="93"/>
      <c r="M80" s="94"/>
      <c r="O80" s="271"/>
      <c r="P80" s="272"/>
      <c r="Q80" s="272"/>
      <c r="R80" s="27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S54" sqref="AS54"/>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9" t="s">
        <v>26</v>
      </c>
      <c r="B2" s="300"/>
      <c r="C2" s="300"/>
      <c r="D2" s="300"/>
      <c r="E2" s="301"/>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2"/>
      <c r="B3" s="303"/>
      <c r="C3" s="303"/>
      <c r="D3" s="303"/>
      <c r="E3" s="304"/>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9" t="s">
        <v>303</v>
      </c>
      <c r="B8" s="259"/>
      <c r="C8" s="259"/>
      <c r="D8" s="259"/>
      <c r="E8" s="259"/>
      <c r="F8" s="259"/>
      <c r="G8" s="259"/>
      <c r="H8" s="259"/>
      <c r="I8" s="259"/>
      <c r="J8" s="25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9" t="s">
        <v>245</v>
      </c>
      <c r="B9" s="259"/>
      <c r="C9" s="259"/>
      <c r="D9" s="259"/>
      <c r="E9" s="259"/>
      <c r="F9" s="259"/>
      <c r="G9" s="259"/>
      <c r="H9" s="259"/>
      <c r="I9" s="259"/>
      <c r="J9" s="25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5" t="s">
        <v>180</v>
      </c>
      <c r="F20" s="305"/>
      <c r="G20" s="305"/>
      <c r="H20" s="305"/>
      <c r="I20" s="305"/>
      <c r="J20" s="305"/>
      <c r="K20" s="58"/>
      <c r="L20" s="23"/>
      <c r="M20" s="305" t="s">
        <v>181</v>
      </c>
      <c r="N20" s="305"/>
      <c r="O20" s="305"/>
      <c r="P20" s="305"/>
      <c r="Q20" s="305"/>
      <c r="R20" s="305"/>
      <c r="S20" s="4"/>
      <c r="T20" s="23"/>
      <c r="U20" s="296" t="s">
        <v>182</v>
      </c>
      <c r="V20" s="297"/>
      <c r="W20" s="297"/>
      <c r="X20" s="297"/>
      <c r="Y20" s="297"/>
      <c r="Z20" s="298"/>
      <c r="AA20" s="4"/>
      <c r="AB20" s="4"/>
      <c r="AC20" s="4"/>
      <c r="AD20" s="4"/>
      <c r="AE20" s="307" t="s">
        <v>183</v>
      </c>
      <c r="AF20" s="308"/>
      <c r="AG20" s="308"/>
      <c r="AH20" s="308"/>
      <c r="AI20" s="308"/>
      <c r="AJ20" s="309"/>
      <c r="AK20" s="4"/>
      <c r="AL20" s="149"/>
      <c r="AM20" s="307" t="s">
        <v>184</v>
      </c>
      <c r="AN20" s="308"/>
      <c r="AO20" s="308"/>
      <c r="AP20" s="308"/>
      <c r="AQ20" s="308"/>
      <c r="AR20" s="309"/>
      <c r="AS20" s="4"/>
      <c r="AT20" s="149"/>
      <c r="AU20" s="307" t="s">
        <v>185</v>
      </c>
      <c r="AV20" s="308"/>
      <c r="AW20" s="308"/>
      <c r="AX20" s="308"/>
      <c r="AY20" s="308"/>
      <c r="AZ20" s="309"/>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44896</v>
      </c>
      <c r="B22" s="11" t="s">
        <v>195</v>
      </c>
      <c r="C22" s="11" t="s">
        <v>196</v>
      </c>
      <c r="D22" s="164" t="s">
        <v>216</v>
      </c>
      <c r="E22" s="11"/>
      <c r="F22" s="11"/>
      <c r="G22" s="11"/>
      <c r="H22" s="11"/>
      <c r="I22" s="11"/>
      <c r="J22" s="11"/>
      <c r="M22" s="168">
        <v>215050</v>
      </c>
      <c r="N22" s="168">
        <v>95443</v>
      </c>
      <c r="O22" s="168">
        <v>78005</v>
      </c>
      <c r="P22" s="168">
        <v>86110</v>
      </c>
      <c r="Q22" s="168">
        <v>21257</v>
      </c>
      <c r="R22" s="168">
        <v>156007</v>
      </c>
      <c r="S22" s="4"/>
      <c r="T22" s="4"/>
      <c r="U22" s="11"/>
      <c r="V22" s="11"/>
      <c r="W22" s="11"/>
      <c r="X22" s="11"/>
      <c r="Y22" s="11"/>
      <c r="Z22" s="11"/>
      <c r="AA22" s="4"/>
      <c r="AB22" s="11" t="s">
        <v>195</v>
      </c>
      <c r="AC22" s="11" t="s">
        <v>196</v>
      </c>
      <c r="AD22" s="164" t="s">
        <v>216</v>
      </c>
      <c r="AE22" s="21"/>
      <c r="AF22" s="21"/>
      <c r="AG22" s="21"/>
      <c r="AH22" s="21"/>
      <c r="AI22" s="21"/>
      <c r="AJ22" s="21"/>
      <c r="AK22" s="4"/>
      <c r="AL22" s="4"/>
      <c r="AM22" s="191">
        <v>36308</v>
      </c>
      <c r="AN22" s="191">
        <v>-209</v>
      </c>
      <c r="AO22" s="191">
        <v>-167</v>
      </c>
      <c r="AP22" s="191">
        <v>17376</v>
      </c>
      <c r="AQ22" s="191">
        <v>0</v>
      </c>
      <c r="AR22" s="191">
        <v>171884</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215050</v>
      </c>
      <c r="N34" s="166">
        <f t="shared" si="1"/>
        <v>95443</v>
      </c>
      <c r="O34" s="166">
        <f t="shared" si="1"/>
        <v>78005</v>
      </c>
      <c r="P34" s="166">
        <f t="shared" si="1"/>
        <v>86110</v>
      </c>
      <c r="Q34" s="166">
        <f t="shared" si="1"/>
        <v>21257</v>
      </c>
      <c r="R34" s="166">
        <f t="shared" si="1"/>
        <v>156007</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36308</v>
      </c>
      <c r="AN34" s="167">
        <f t="shared" si="4"/>
        <v>-209</v>
      </c>
      <c r="AO34" s="167">
        <f t="shared" si="4"/>
        <v>-167</v>
      </c>
      <c r="AP34" s="167">
        <f t="shared" si="4"/>
        <v>17376</v>
      </c>
      <c r="AQ34" s="167">
        <f t="shared" si="4"/>
        <v>0</v>
      </c>
      <c r="AR34" s="167">
        <f t="shared" si="4"/>
        <v>171884</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5" t="str">
        <f>E20</f>
        <v>Number of Residential Customers in Arrears</v>
      </c>
      <c r="F36" s="305"/>
      <c r="G36" s="305"/>
      <c r="H36" s="305"/>
      <c r="I36" s="305"/>
      <c r="J36" s="305"/>
      <c r="K36" s="58"/>
      <c r="L36" s="23"/>
      <c r="M36" s="296" t="str">
        <f>M20</f>
        <v>Residential Arrearage Dollars</v>
      </c>
      <c r="N36" s="297"/>
      <c r="O36" s="297"/>
      <c r="P36" s="297"/>
      <c r="Q36" s="297"/>
      <c r="R36" s="298"/>
      <c r="S36" s="4"/>
      <c r="T36" s="23"/>
      <c r="U36" s="296" t="str">
        <f>U20</f>
        <v>Average Amount of Residential Arrearage Dollars</v>
      </c>
      <c r="V36" s="297"/>
      <c r="W36" s="297"/>
      <c r="X36" s="297"/>
      <c r="Y36" s="297"/>
      <c r="Z36" s="298"/>
      <c r="AA36" s="4"/>
      <c r="AB36" s="4"/>
      <c r="AC36" s="4"/>
      <c r="AD36" s="4"/>
      <c r="AE36" s="307" t="s">
        <v>183</v>
      </c>
      <c r="AF36" s="308"/>
      <c r="AG36" s="308"/>
      <c r="AH36" s="308"/>
      <c r="AI36" s="308"/>
      <c r="AJ36" s="309"/>
      <c r="AK36" s="4"/>
      <c r="AL36" s="149"/>
      <c r="AM36" s="308" t="str">
        <f>AM20</f>
        <v>Non-Residential Arrearage Dollars</v>
      </c>
      <c r="AN36" s="308"/>
      <c r="AO36" s="308"/>
      <c r="AP36" s="308"/>
      <c r="AQ36" s="308"/>
      <c r="AR36" s="309"/>
      <c r="AS36" s="4"/>
      <c r="AT36" s="149"/>
      <c r="AU36" s="307" t="str">
        <f>AU20</f>
        <v>Average Amount of Non-Residential Arrearage Dollars</v>
      </c>
      <c r="AV36" s="308"/>
      <c r="AW36" s="308"/>
      <c r="AX36" s="308"/>
      <c r="AY36" s="308"/>
      <c r="AZ36" s="309"/>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44531</v>
      </c>
      <c r="B38" s="11" t="s">
        <v>195</v>
      </c>
      <c r="C38" s="11" t="s">
        <v>196</v>
      </c>
      <c r="D38" s="164" t="s">
        <v>216</v>
      </c>
      <c r="E38" s="11"/>
      <c r="F38" s="11"/>
      <c r="G38" s="11"/>
      <c r="H38" s="11"/>
      <c r="I38" s="11"/>
      <c r="J38" s="11"/>
      <c r="M38" s="168">
        <v>180767</v>
      </c>
      <c r="N38" s="168">
        <v>72652</v>
      </c>
      <c r="O38" s="168">
        <v>86965</v>
      </c>
      <c r="P38" s="168">
        <v>95460</v>
      </c>
      <c r="Q38" s="168">
        <v>28418</v>
      </c>
      <c r="R38" s="168">
        <v>491977</v>
      </c>
      <c r="S38" s="4"/>
      <c r="T38" s="4"/>
      <c r="U38" s="11"/>
      <c r="V38" s="11"/>
      <c r="W38" s="11"/>
      <c r="X38" s="11"/>
      <c r="Y38" s="11"/>
      <c r="Z38" s="11"/>
      <c r="AA38" s="4"/>
      <c r="AB38" s="11" t="s">
        <v>195</v>
      </c>
      <c r="AC38" s="11" t="s">
        <v>196</v>
      </c>
      <c r="AD38" s="164" t="s">
        <v>216</v>
      </c>
      <c r="AE38" s="21"/>
      <c r="AF38" s="21"/>
      <c r="AG38" s="21"/>
      <c r="AH38" s="21"/>
      <c r="AI38" s="21"/>
      <c r="AJ38" s="21"/>
      <c r="AK38" s="4"/>
      <c r="AL38" s="4"/>
      <c r="AM38" s="191">
        <v>8653</v>
      </c>
      <c r="AN38" s="191">
        <v>-555</v>
      </c>
      <c r="AO38" s="191">
        <v>-38</v>
      </c>
      <c r="AP38" s="191">
        <v>15989</v>
      </c>
      <c r="AQ38" s="191">
        <v>0</v>
      </c>
      <c r="AR38" s="191">
        <v>26816</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180767</v>
      </c>
      <c r="N50" s="165">
        <f t="shared" si="7"/>
        <v>72652</v>
      </c>
      <c r="O50" s="165">
        <f t="shared" si="7"/>
        <v>86965</v>
      </c>
      <c r="P50" s="165">
        <f t="shared" si="7"/>
        <v>95460</v>
      </c>
      <c r="Q50" s="165">
        <f t="shared" si="7"/>
        <v>28418</v>
      </c>
      <c r="R50" s="165">
        <f t="shared" si="7"/>
        <v>491977</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8653</v>
      </c>
      <c r="AN50" s="165">
        <f t="shared" si="10"/>
        <v>-555</v>
      </c>
      <c r="AO50" s="165">
        <f t="shared" si="10"/>
        <v>-38</v>
      </c>
      <c r="AP50" s="165">
        <f t="shared" si="10"/>
        <v>15989</v>
      </c>
      <c r="AQ50" s="165">
        <f t="shared" si="10"/>
        <v>0</v>
      </c>
      <c r="AR50" s="165">
        <f t="shared" si="10"/>
        <v>26816</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5" t="str">
        <f>E20</f>
        <v>Number of Residential Customers in Arrears</v>
      </c>
      <c r="F52" s="305"/>
      <c r="G52" s="305"/>
      <c r="H52" s="305"/>
      <c r="I52" s="305"/>
      <c r="J52" s="305"/>
      <c r="K52" s="58"/>
      <c r="L52" s="23"/>
      <c r="M52" s="296" t="str">
        <f>M36</f>
        <v>Residential Arrearage Dollars</v>
      </c>
      <c r="N52" s="297"/>
      <c r="O52" s="297"/>
      <c r="P52" s="297"/>
      <c r="Q52" s="297"/>
      <c r="R52" s="298"/>
      <c r="S52" s="4"/>
      <c r="T52" s="23"/>
      <c r="U52" s="296" t="str">
        <f>U20</f>
        <v>Average Amount of Residential Arrearage Dollars</v>
      </c>
      <c r="V52" s="297"/>
      <c r="W52" s="297"/>
      <c r="X52" s="297"/>
      <c r="Y52" s="297"/>
      <c r="Z52" s="298"/>
      <c r="AA52" s="4"/>
      <c r="AB52" s="4"/>
      <c r="AC52" s="4"/>
      <c r="AD52" s="4"/>
      <c r="AE52" s="307" t="s">
        <v>183</v>
      </c>
      <c r="AF52" s="308"/>
      <c r="AG52" s="308"/>
      <c r="AH52" s="308"/>
      <c r="AI52" s="308"/>
      <c r="AJ52" s="309"/>
      <c r="AK52" s="4"/>
      <c r="AL52" s="149"/>
      <c r="AM52" s="308" t="str">
        <f>AM36</f>
        <v>Non-Residential Arrearage Dollars</v>
      </c>
      <c r="AN52" s="308"/>
      <c r="AO52" s="308"/>
      <c r="AP52" s="308"/>
      <c r="AQ52" s="308"/>
      <c r="AR52" s="309"/>
      <c r="AS52" s="4"/>
      <c r="AT52" s="149"/>
      <c r="AU52" s="307" t="str">
        <f>AU36</f>
        <v>Average Amount of Non-Residential Arrearage Dollars</v>
      </c>
      <c r="AV52" s="308"/>
      <c r="AW52" s="308"/>
      <c r="AX52" s="308"/>
      <c r="AY52" s="308"/>
      <c r="AZ52" s="309"/>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43800</v>
      </c>
      <c r="B54" s="11" t="s">
        <v>195</v>
      </c>
      <c r="C54" s="11" t="s">
        <v>196</v>
      </c>
      <c r="D54" s="164" t="s">
        <v>216</v>
      </c>
      <c r="E54" s="11"/>
      <c r="F54" s="11"/>
      <c r="G54" s="11"/>
      <c r="H54" s="11"/>
      <c r="I54" s="11"/>
      <c r="J54" s="11"/>
      <c r="M54" s="168">
        <v>199615</v>
      </c>
      <c r="N54" s="197">
        <v>57090</v>
      </c>
      <c r="O54" s="168">
        <v>76568</v>
      </c>
      <c r="P54" s="168">
        <v>103585</v>
      </c>
      <c r="Q54" s="168">
        <v>19658</v>
      </c>
      <c r="R54" s="168">
        <v>178024</v>
      </c>
      <c r="S54" s="4"/>
      <c r="T54" s="4"/>
      <c r="U54" s="11"/>
      <c r="V54" s="11"/>
      <c r="W54" s="11"/>
      <c r="X54" s="11"/>
      <c r="Y54" s="11"/>
      <c r="Z54" s="11"/>
      <c r="AA54" s="4"/>
      <c r="AB54" s="11" t="s">
        <v>195</v>
      </c>
      <c r="AC54" s="11" t="s">
        <v>196</v>
      </c>
      <c r="AD54" s="164" t="s">
        <v>216</v>
      </c>
      <c r="AE54" s="21"/>
      <c r="AF54" s="21"/>
      <c r="AG54" s="21"/>
      <c r="AH54" s="21"/>
      <c r="AI54" s="21"/>
      <c r="AJ54" s="21"/>
      <c r="AK54" s="4"/>
      <c r="AL54" s="4"/>
      <c r="AM54" s="191">
        <v>20903</v>
      </c>
      <c r="AN54" s="191">
        <v>35</v>
      </c>
      <c r="AO54" s="191">
        <v>1</v>
      </c>
      <c r="AP54" s="191">
        <v>-132</v>
      </c>
      <c r="AQ54" s="191">
        <v>0</v>
      </c>
      <c r="AR54" s="191">
        <v>26888</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199615</v>
      </c>
      <c r="N66" s="165">
        <f t="shared" si="13"/>
        <v>57090</v>
      </c>
      <c r="O66" s="165">
        <f t="shared" si="13"/>
        <v>76568</v>
      </c>
      <c r="P66" s="165">
        <f t="shared" si="13"/>
        <v>103585</v>
      </c>
      <c r="Q66" s="165">
        <f t="shared" si="13"/>
        <v>19658</v>
      </c>
      <c r="R66" s="165">
        <f t="shared" si="13"/>
        <v>178024</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20903</v>
      </c>
      <c r="AN66" s="165">
        <f t="shared" si="16"/>
        <v>35</v>
      </c>
      <c r="AO66" s="165">
        <f t="shared" si="16"/>
        <v>1</v>
      </c>
      <c r="AP66" s="165">
        <f t="shared" si="16"/>
        <v>-132</v>
      </c>
      <c r="AQ66" s="165">
        <f t="shared" si="16"/>
        <v>0</v>
      </c>
      <c r="AR66" s="165">
        <f t="shared" si="16"/>
        <v>26888</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zoomScale="70" zoomScaleNormal="70" zoomScaleSheetLayoutView="40" zoomScalePageLayoutView="55" workbookViewId="0">
      <selection activeCell="V15" sqref="V15:AD17"/>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10" t="s">
        <v>282</v>
      </c>
      <c r="W11" s="315"/>
      <c r="X11" s="315"/>
      <c r="Y11" s="315"/>
      <c r="Z11" s="315"/>
      <c r="AA11" s="315"/>
      <c r="AB11" s="315"/>
      <c r="AC11" s="315"/>
      <c r="AD11" s="315"/>
    </row>
    <row r="12" spans="1:31" ht="17.399999999999999" customHeight="1" x14ac:dyDescent="0.3">
      <c r="A12" s="259" t="s">
        <v>279</v>
      </c>
      <c r="B12" s="259"/>
      <c r="C12" s="259"/>
      <c r="D12" s="259"/>
      <c r="E12" s="259"/>
      <c r="F12" s="259"/>
      <c r="G12" s="259"/>
      <c r="H12" s="259"/>
      <c r="I12" s="259"/>
      <c r="J12" s="259"/>
      <c r="L12" s="259" t="s">
        <v>279</v>
      </c>
      <c r="M12" s="259"/>
      <c r="N12" s="259"/>
      <c r="O12" s="259"/>
      <c r="P12" s="259"/>
      <c r="Q12" s="259"/>
      <c r="R12" s="259"/>
      <c r="S12" s="259"/>
      <c r="T12" s="259"/>
      <c r="U12" s="259"/>
      <c r="V12" s="310" t="s">
        <v>283</v>
      </c>
      <c r="W12" s="315"/>
      <c r="X12" s="315"/>
      <c r="Y12" s="315"/>
      <c r="Z12" s="315"/>
      <c r="AA12" s="315"/>
      <c r="AB12" s="315"/>
      <c r="AC12" s="315"/>
      <c r="AD12" s="315"/>
    </row>
    <row r="13" spans="1:31" ht="17.399999999999999" customHeight="1" x14ac:dyDescent="0.3">
      <c r="A13" s="259" t="s">
        <v>280</v>
      </c>
      <c r="B13" s="259"/>
      <c r="C13" s="259"/>
      <c r="D13" s="259"/>
      <c r="E13" s="259"/>
      <c r="F13" s="259"/>
      <c r="G13" s="259"/>
      <c r="H13" s="259"/>
      <c r="I13" s="259"/>
      <c r="J13" s="259"/>
      <c r="L13" s="259" t="s">
        <v>280</v>
      </c>
      <c r="M13" s="259"/>
      <c r="N13" s="259"/>
      <c r="O13" s="259"/>
      <c r="P13" s="259"/>
      <c r="Q13" s="259"/>
      <c r="R13" s="259"/>
      <c r="S13" s="259"/>
      <c r="T13" s="259"/>
      <c r="U13" s="259"/>
      <c r="V13" s="310" t="s">
        <v>285</v>
      </c>
      <c r="W13" s="315"/>
      <c r="X13" s="315"/>
      <c r="Y13" s="315"/>
      <c r="Z13" s="315"/>
      <c r="AA13" s="315"/>
      <c r="AB13" s="315"/>
      <c r="AC13" s="315"/>
      <c r="AD13" s="315"/>
      <c r="AE13" s="4" t="s">
        <v>284</v>
      </c>
    </row>
    <row r="14" spans="1:31" ht="17.399999999999999" customHeight="1" x14ac:dyDescent="0.3">
      <c r="A14" s="259" t="s">
        <v>286</v>
      </c>
      <c r="B14" s="259"/>
      <c r="C14" s="259"/>
      <c r="D14" s="259"/>
      <c r="E14" s="259"/>
      <c r="F14" s="259"/>
      <c r="G14" s="259"/>
      <c r="H14" s="259"/>
      <c r="I14" s="259"/>
      <c r="J14" s="259"/>
      <c r="L14" s="259" t="s">
        <v>281</v>
      </c>
      <c r="M14" s="259"/>
      <c r="N14" s="259"/>
      <c r="O14" s="259"/>
      <c r="P14" s="259"/>
      <c r="Q14" s="259"/>
      <c r="R14" s="259"/>
      <c r="S14" s="259"/>
      <c r="T14" s="259"/>
      <c r="U14" s="259"/>
      <c r="V14" s="310" t="s">
        <v>290</v>
      </c>
      <c r="W14" s="259"/>
      <c r="X14" s="259"/>
      <c r="Y14" s="259"/>
      <c r="Z14" s="259"/>
      <c r="AA14" s="259"/>
      <c r="AB14" s="259"/>
      <c r="AC14" s="259"/>
      <c r="AD14" s="259"/>
    </row>
    <row r="15" spans="1:31" ht="17.399999999999999" customHeight="1" x14ac:dyDescent="0.3">
      <c r="A15" s="259" t="s">
        <v>288</v>
      </c>
      <c r="B15" s="259"/>
      <c r="C15" s="259"/>
      <c r="D15" s="259"/>
      <c r="E15" s="259"/>
      <c r="F15" s="259"/>
      <c r="G15" s="259"/>
      <c r="H15" s="259"/>
      <c r="I15" s="259"/>
      <c r="J15" s="259"/>
      <c r="L15" s="259" t="s">
        <v>287</v>
      </c>
      <c r="M15" s="259"/>
      <c r="N15" s="259"/>
      <c r="O15" s="259"/>
      <c r="P15" s="259"/>
      <c r="Q15" s="259"/>
      <c r="R15" s="259"/>
      <c r="S15" s="259"/>
      <c r="T15" s="259"/>
      <c r="U15" s="259"/>
      <c r="V15" s="310" t="s">
        <v>327</v>
      </c>
      <c r="W15" s="259"/>
      <c r="X15" s="259"/>
      <c r="Y15" s="259"/>
      <c r="Z15" s="259"/>
      <c r="AA15" s="259"/>
      <c r="AB15" s="259"/>
      <c r="AC15" s="259"/>
      <c r="AD15" s="259"/>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10" t="s">
        <v>328</v>
      </c>
      <c r="W16" s="259"/>
      <c r="X16" s="259"/>
      <c r="Y16" s="259"/>
      <c r="Z16" s="259"/>
      <c r="AA16" s="259"/>
      <c r="AB16" s="259"/>
      <c r="AC16" s="259"/>
      <c r="AD16" s="259"/>
    </row>
    <row r="17" spans="1:30" ht="17.399999999999999" customHeight="1" x14ac:dyDescent="0.3">
      <c r="A17" s="259" t="s">
        <v>326</v>
      </c>
      <c r="B17" s="259"/>
      <c r="C17" s="259"/>
      <c r="D17" s="259"/>
      <c r="E17" s="259"/>
      <c r="F17" s="259"/>
      <c r="G17" s="259"/>
      <c r="H17" s="259"/>
      <c r="I17" s="259"/>
      <c r="J17" s="259"/>
      <c r="L17" s="188"/>
      <c r="M17" s="188"/>
      <c r="N17" s="188"/>
      <c r="O17" s="188"/>
      <c r="P17" s="188"/>
      <c r="Q17" s="188"/>
      <c r="R17" s="188"/>
      <c r="S17" s="188"/>
      <c r="T17" s="188"/>
      <c r="U17" s="188"/>
      <c r="V17" s="228" t="s">
        <v>329</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66" x14ac:dyDescent="0.3">
      <c r="A20" s="163">
        <v>44896</v>
      </c>
      <c r="B20" s="64" t="s">
        <v>114</v>
      </c>
      <c r="C20" s="64" t="s">
        <v>17</v>
      </c>
      <c r="D20" s="64" t="s">
        <v>108</v>
      </c>
      <c r="E20" s="64" t="s">
        <v>18</v>
      </c>
      <c r="F20" s="65" t="s">
        <v>137</v>
      </c>
      <c r="G20" s="65" t="s">
        <v>325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76</v>
      </c>
      <c r="G21" s="168">
        <f>I21/10</f>
        <v>158.6338552631579</v>
      </c>
      <c r="H21" s="168">
        <v>120561.73</v>
      </c>
      <c r="I21" s="168">
        <f>+H21/F21</f>
        <v>1586.338552631579</v>
      </c>
      <c r="J21" s="11">
        <v>12</v>
      </c>
      <c r="L21" s="11"/>
      <c r="M21" s="11"/>
      <c r="N21" s="11"/>
      <c r="O21" s="11"/>
      <c r="P21" s="11"/>
      <c r="Q21" s="11"/>
      <c r="R21" s="11"/>
      <c r="S21" s="11"/>
      <c r="T21" s="11"/>
      <c r="V21" s="11"/>
      <c r="W21" s="11"/>
      <c r="X21" s="11"/>
      <c r="Y21" s="11"/>
      <c r="Z21" s="11"/>
      <c r="AA21" s="11"/>
      <c r="AB21" s="168">
        <v>2420</v>
      </c>
      <c r="AC21" s="168">
        <v>26539</v>
      </c>
      <c r="AD21" s="168">
        <f>+AC21/AB21</f>
        <v>10.966528925619835</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2420</v>
      </c>
      <c r="AC31" s="218">
        <f t="shared" ref="AC31:AD31" si="0">SUM(AC21:AC30)</f>
        <v>26539</v>
      </c>
      <c r="AD31" s="218">
        <f t="shared" si="0"/>
        <v>10.966528925619835</v>
      </c>
    </row>
    <row r="32" spans="1:30" s="4" customFormat="1" ht="13.2" x14ac:dyDescent="0.25">
      <c r="A32" s="52"/>
      <c r="L32" s="47"/>
      <c r="V32" s="47"/>
    </row>
    <row r="33" spans="1:30" ht="66" x14ac:dyDescent="0.3">
      <c r="A33" s="163">
        <v>44531</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c r="G34" s="11"/>
      <c r="H34" s="11"/>
      <c r="I34" s="11"/>
      <c r="J34" s="11"/>
      <c r="L34" s="11"/>
      <c r="M34" s="11"/>
      <c r="N34" s="11"/>
      <c r="O34" s="11"/>
      <c r="P34" s="11"/>
      <c r="Q34" s="11"/>
      <c r="R34" s="11"/>
      <c r="S34" s="11"/>
      <c r="T34" s="11"/>
      <c r="V34" s="11"/>
      <c r="W34" s="11"/>
      <c r="X34" s="11"/>
      <c r="Y34" s="11"/>
      <c r="Z34" s="11"/>
      <c r="AA34" s="11"/>
      <c r="AB34" s="168">
        <v>162</v>
      </c>
      <c r="AC34" s="168">
        <v>22585</v>
      </c>
      <c r="AD34" s="168">
        <f>+AC34/AB34</f>
        <v>139.41358024691357</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162</v>
      </c>
      <c r="AC44" s="218">
        <f t="shared" ref="AC44" si="1">SUM(AC34:AC43)</f>
        <v>22585</v>
      </c>
      <c r="AD44" s="218">
        <f t="shared" ref="AD44" si="2">SUM(AD34:AD43)</f>
        <v>139.41358024691357</v>
      </c>
    </row>
    <row r="45" spans="1:30" s="4" customFormat="1" ht="13.2" x14ac:dyDescent="0.25">
      <c r="A45" s="52"/>
      <c r="L45" s="47"/>
      <c r="V45" s="47"/>
    </row>
    <row r="46" spans="1:30" ht="79.2" x14ac:dyDescent="0.3">
      <c r="A46" s="163">
        <v>43800</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2463</v>
      </c>
      <c r="AC47" s="168">
        <v>32499</v>
      </c>
      <c r="AD47" s="168">
        <f>+AC47/AB47</f>
        <v>13.194884287454324</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2463</v>
      </c>
      <c r="AC57" s="218">
        <f t="shared" ref="AC57" si="3">SUM(AC47:AC56)</f>
        <v>32499</v>
      </c>
      <c r="AD57" s="218">
        <f t="shared" ref="AD57" si="4">SUM(AD47:AD56)</f>
        <v>13.194884287454324</v>
      </c>
    </row>
    <row r="58" spans="1:30" s="4" customFormat="1" ht="13.2" x14ac:dyDescent="0.25">
      <c r="A58" s="52"/>
      <c r="L58" s="47"/>
      <c r="V58" s="47"/>
    </row>
    <row r="59" spans="1:30" ht="79.2" x14ac:dyDescent="0.3">
      <c r="A59" s="163">
        <v>44896</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320</v>
      </c>
      <c r="AC60" s="168">
        <v>3678</v>
      </c>
      <c r="AD60" s="168">
        <f>+AC60/AB60</f>
        <v>11.49375</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320</v>
      </c>
      <c r="AC71" s="218">
        <f t="shared" ref="AC71:AD71" si="5">SUM(AC60:AC70)</f>
        <v>3678</v>
      </c>
      <c r="AD71" s="218">
        <f t="shared" si="5"/>
        <v>11.49375</v>
      </c>
    </row>
    <row r="72" spans="1:30" s="4" customFormat="1" ht="13.2" x14ac:dyDescent="0.25">
      <c r="L72" s="47"/>
      <c r="V72" s="47"/>
    </row>
    <row r="73" spans="1:30" ht="79.2" x14ac:dyDescent="0.3">
      <c r="A73" s="163">
        <v>44531</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48</v>
      </c>
      <c r="AC74" s="168">
        <v>753</v>
      </c>
      <c r="AD74" s="168">
        <f>+AC74/AB74</f>
        <v>15.6875</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48</v>
      </c>
      <c r="AC85" s="218">
        <f t="shared" ref="AC85" si="6">SUM(AC74:AC84)</f>
        <v>753</v>
      </c>
      <c r="AD85" s="218">
        <f t="shared" ref="AD85" si="7">SUM(AD74:AD84)</f>
        <v>15.6875</v>
      </c>
    </row>
    <row r="86" spans="1:30" s="4" customFormat="1" ht="13.2" x14ac:dyDescent="0.25">
      <c r="A86" s="52"/>
      <c r="L86" s="47"/>
      <c r="V86" s="47"/>
    </row>
    <row r="87" spans="1:30" ht="79.2" x14ac:dyDescent="0.3">
      <c r="A87" s="163">
        <v>43800</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140</v>
      </c>
      <c r="AC88" s="168">
        <v>397</v>
      </c>
      <c r="AD88" s="168">
        <f>+AC88/AB88</f>
        <v>2.8357142857142859</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140</v>
      </c>
      <c r="AC99" s="218">
        <f t="shared" ref="AC99" si="8">SUM(AC88:AC98)</f>
        <v>397</v>
      </c>
      <c r="AD99" s="218">
        <f t="shared" ref="AD99" si="9">SUM(AD88:AD98)</f>
        <v>2.8357142857142859</v>
      </c>
    </row>
    <row r="100" spans="1:30" s="4" customFormat="1" ht="13.2" x14ac:dyDescent="0.25">
      <c r="A100" s="52"/>
    </row>
  </sheetData>
  <mergeCells count="21">
    <mergeCell ref="A17:J17"/>
    <mergeCell ref="L2:N2"/>
    <mergeCell ref="A8:J8"/>
    <mergeCell ref="L10:U10"/>
    <mergeCell ref="L12:U12"/>
    <mergeCell ref="V2:Y2"/>
    <mergeCell ref="L13:U13"/>
    <mergeCell ref="A12:J12"/>
    <mergeCell ref="A13:J13"/>
    <mergeCell ref="A10:J10"/>
    <mergeCell ref="V11:AD11"/>
    <mergeCell ref="V12:AD12"/>
    <mergeCell ref="V13:AD13"/>
    <mergeCell ref="A2:D2"/>
    <mergeCell ref="V15:AD15"/>
    <mergeCell ref="V16:AD16"/>
    <mergeCell ref="A15:J15"/>
    <mergeCell ref="L15:U15"/>
    <mergeCell ref="A14:J14"/>
    <mergeCell ref="L14:U14"/>
    <mergeCell ref="V14:AD14"/>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abSelected="1" topLeftCell="F1" zoomScale="70" zoomScaleNormal="70" zoomScalePageLayoutView="60" workbookViewId="0">
      <selection activeCell="I11" sqref="I11:K1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1" t="s">
        <v>124</v>
      </c>
      <c r="J2" s="312"/>
      <c r="K2" s="313"/>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9" t="s">
        <v>292</v>
      </c>
      <c r="B9" s="259"/>
      <c r="C9" s="259"/>
      <c r="D9" s="259"/>
      <c r="E9" s="259"/>
      <c r="F9" s="259"/>
      <c r="G9" s="259"/>
      <c r="I9" s="310" t="s">
        <v>304</v>
      </c>
      <c r="J9" s="259"/>
      <c r="K9" s="25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10" t="s">
        <v>330</v>
      </c>
      <c r="J10" s="259"/>
      <c r="K10" s="259"/>
      <c r="M10" s="321" t="s">
        <v>315</v>
      </c>
      <c r="N10" s="322"/>
      <c r="O10" s="322"/>
      <c r="P10" s="322"/>
      <c r="Q10" s="322"/>
      <c r="R10" s="322"/>
      <c r="S10" s="322"/>
      <c r="T10" s="322"/>
      <c r="V10" s="323" t="s">
        <v>307</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9" t="s">
        <v>311</v>
      </c>
      <c r="B11" s="259"/>
      <c r="C11" s="259"/>
      <c r="D11" s="259"/>
      <c r="E11" s="259"/>
      <c r="F11" s="259"/>
      <c r="G11" s="259"/>
      <c r="I11" s="310" t="s">
        <v>312</v>
      </c>
      <c r="J11" s="259"/>
      <c r="K11" s="259"/>
      <c r="M11" s="321" t="s">
        <v>316</v>
      </c>
      <c r="N11" s="322"/>
      <c r="O11" s="322"/>
      <c r="P11" s="322"/>
      <c r="Q11" s="322"/>
      <c r="R11" s="322"/>
      <c r="S11" s="322"/>
      <c r="T11" s="322"/>
      <c r="V11" s="323" t="s">
        <v>308</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9"/>
      <c r="B12" s="259"/>
      <c r="C12" s="259"/>
      <c r="D12" s="259"/>
      <c r="E12" s="259"/>
      <c r="F12" s="259"/>
      <c r="G12" s="259"/>
      <c r="I12" s="310"/>
      <c r="J12" s="259"/>
      <c r="K12" s="25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320</v>
      </c>
      <c r="K17" s="105" t="s">
        <v>321</v>
      </c>
      <c r="M17" s="103" t="s">
        <v>322</v>
      </c>
      <c r="N17" s="104" t="s">
        <v>151</v>
      </c>
      <c r="O17" s="68"/>
      <c r="P17" s="65" t="s">
        <v>323</v>
      </c>
      <c r="Q17" s="104" t="s">
        <v>151</v>
      </c>
      <c r="R17" s="68"/>
      <c r="S17" s="65" t="s">
        <v>324</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1</v>
      </c>
      <c r="J18" s="45">
        <v>1</v>
      </c>
      <c r="K18" s="102">
        <v>1</v>
      </c>
      <c r="M18" s="221">
        <v>0</v>
      </c>
      <c r="N18" s="219">
        <v>13.8</v>
      </c>
      <c r="P18" s="227">
        <v>0</v>
      </c>
      <c r="Q18" s="220">
        <v>13.6</v>
      </c>
      <c r="S18" s="224">
        <v>0</v>
      </c>
      <c r="T18" s="220">
        <v>13</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0">
        <v>0</v>
      </c>
      <c r="K19" s="223">
        <v>0</v>
      </c>
      <c r="M19" s="222">
        <v>0</v>
      </c>
      <c r="N19" s="219">
        <v>0</v>
      </c>
      <c r="P19" s="222">
        <v>0</v>
      </c>
      <c r="Q19" s="220">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76</v>
      </c>
      <c r="J20" s="220">
        <v>0</v>
      </c>
      <c r="K20" s="223">
        <v>0</v>
      </c>
      <c r="M20" s="222">
        <v>41</v>
      </c>
      <c r="N20" s="219">
        <v>8374.8799999999992</v>
      </c>
      <c r="P20" s="222">
        <v>0</v>
      </c>
      <c r="Q20" s="220">
        <v>0</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0">
        <v>0</v>
      </c>
      <c r="K21" s="223">
        <v>0</v>
      </c>
      <c r="M21" s="222">
        <v>0</v>
      </c>
      <c r="N21" s="219">
        <v>0</v>
      </c>
      <c r="P21" s="222">
        <v>0</v>
      </c>
      <c r="Q21" s="220">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9" t="s">
        <v>265</v>
      </c>
      <c r="B7" s="259"/>
      <c r="C7" s="259"/>
      <c r="D7" s="259"/>
      <c r="E7" s="259"/>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4" t="s">
        <v>153</v>
      </c>
      <c r="B2" s="293"/>
      <c r="C2" s="293"/>
      <c r="D2" s="293"/>
      <c r="E2" s="293"/>
      <c r="F2" s="293"/>
      <c r="G2" s="293"/>
      <c r="H2" s="285"/>
      <c r="I2" s="28"/>
      <c r="J2" s="28"/>
      <c r="K2" s="28"/>
      <c r="L2" s="25"/>
      <c r="M2" s="25"/>
    </row>
    <row r="3" spans="1:13" ht="42.6" customHeight="1" thickBot="1" x14ac:dyDescent="0.3">
      <c r="A3" s="288"/>
      <c r="B3" s="295"/>
      <c r="C3" s="295"/>
      <c r="D3" s="295"/>
      <c r="E3" s="295"/>
      <c r="F3" s="295"/>
      <c r="G3" s="295"/>
      <c r="H3" s="289"/>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006097E-12CA-4FF8-9444-B9A3DEFD105F}">
  <ds:schemaRefs>
    <ds:schemaRef ds:uri="http://schemas.microsoft.com/DataMashup"/>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2023-09-14T15:07:25Z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