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991CA417-A6D4-4C64-A4BF-3F3141CC8F2A}" xr6:coauthVersionLast="47" xr6:coauthVersionMax="47" xr10:uidLastSave="{00000000-0000-0000-0000-000000000000}"/>
  <bookViews>
    <workbookView xWindow="22290" yWindow="-16155" windowWidth="17280" windowHeight="99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16" l="1"/>
  <c r="G21" i="16" s="1"/>
  <c r="AD68" i="20"/>
  <c r="AD34" i="20"/>
  <c r="O68" i="20"/>
  <c r="O34" i="20"/>
  <c r="K68" i="20"/>
  <c r="J68" i="20"/>
  <c r="K34" i="20"/>
  <c r="J34" i="20"/>
  <c r="H68" i="20"/>
  <c r="H34" i="20"/>
  <c r="G68" i="20"/>
  <c r="G34" i="20"/>
  <c r="AD74" i="16" l="1"/>
  <c r="AD34" i="16"/>
  <c r="I34" i="16"/>
  <c r="G34" i="16" s="1"/>
  <c r="AE78" i="20"/>
  <c r="AD78" i="20"/>
  <c r="U78" i="20"/>
  <c r="Q78" i="20"/>
  <c r="O78" i="20"/>
  <c r="K78" i="20"/>
  <c r="R78" i="20" s="1"/>
  <c r="J78" i="20"/>
  <c r="AC78" i="20" s="1"/>
  <c r="H78" i="20"/>
  <c r="G78" i="20"/>
  <c r="V78" i="20" s="1"/>
  <c r="AD45" i="20"/>
  <c r="AE45" i="20" s="1"/>
  <c r="AC45" i="20"/>
  <c r="U45" i="20"/>
  <c r="O45" i="20"/>
  <c r="K45" i="20"/>
  <c r="R45" i="20" s="1"/>
  <c r="J45" i="20"/>
  <c r="Q45" i="20" s="1"/>
  <c r="H45" i="20"/>
  <c r="G45" i="20"/>
  <c r="V45" i="20" s="1"/>
  <c r="AD88" i="20"/>
  <c r="AD56" i="20"/>
  <c r="O88" i="20"/>
  <c r="O56" i="20"/>
  <c r="K88" i="20"/>
  <c r="J88" i="20"/>
  <c r="K56" i="20"/>
  <c r="J56" i="20"/>
  <c r="H88" i="20"/>
  <c r="H56" i="20"/>
  <c r="G88" i="20"/>
  <c r="G56" i="20"/>
  <c r="AD88" i="16" l="1"/>
  <c r="AD99" i="16" s="1"/>
  <c r="AD85" i="16"/>
  <c r="AD47" i="16"/>
  <c r="AD57" i="16" s="1"/>
  <c r="AC99" i="16"/>
  <c r="AB99" i="16"/>
  <c r="AC85" i="16"/>
  <c r="AB85" i="16"/>
  <c r="AC71" i="16"/>
  <c r="AB71" i="16"/>
  <c r="AC57" i="16"/>
  <c r="AB57" i="16"/>
  <c r="AC44" i="16"/>
  <c r="AB44" i="16"/>
  <c r="AC31" i="16"/>
  <c r="AB31" i="16"/>
  <c r="AD60" i="16"/>
  <c r="AD71" i="16" s="1"/>
  <c r="S53" i="20"/>
  <c r="S42" i="20"/>
  <c r="AD44" i="16" l="1"/>
  <c r="AD21" i="16"/>
  <c r="AD31" i="16" s="1"/>
  <c r="K95" i="20" l="1"/>
  <c r="AR66" i="14"/>
  <c r="K64" i="20"/>
  <c r="AE88" i="20"/>
  <c r="AC88" i="20"/>
  <c r="AE56" i="20"/>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<sst xmlns="http://schemas.openxmlformats.org/spreadsheetml/2006/main" count="17430" uniqueCount="331">
  <si>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</si>
  <si>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</si>
  <si>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</si>
  <si>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</si>
  <si>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</si>
  <si>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</si>
  <si>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</si>
  <si>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</si>
  <si>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</si>
  <si>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</si>
  <si>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</si>
  <si>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</si>
  <si>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</si>
  <si>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</si>
  <si>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</si>
  <si>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</si>
  <si>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</si>
  <si>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</si>
  <si>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</si>
  <si>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</si>
  <si>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</si>
  <si>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</si>
  <si>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</si>
  <si>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</si>
  <si>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</si>
  <si>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</si>
  <si>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</si>
  <si>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</si>
  <si>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</si>
  <si>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</si>
  <si>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</si>
  <si>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</si>
  <si>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</si>
  <si>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</si>
  <si>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</si>
  <si>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</si>
  <si>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</si>
  <si>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</si>
  <si>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</si>
  <si>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</si>
  <si>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</si>
  <si>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</si>
  <si>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</si>
  <si>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</si>
  <si>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</si>
  <si>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</si>
  <si>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</si>
  <si>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</si>
  <si>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</si>
  <si>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</si>
  <si>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</si>
  <si>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</si>
  <si>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</si>
  <si>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</si>
  <si>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</si>
  <si>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</si>
  <si>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</si>
  <si>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</si>
  <si>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</si>
  <si>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</si>
  <si>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</si>
  <si>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</si>
  <si>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</si>
  <si>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</si>
  <si>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</si>
  <si>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</si>
  <si>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</si>
  <si>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</si>
  <si>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</si>
  <si>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</si>
  <si>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</si>
  <si>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</si>
  <si>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</si>
  <si>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</si>
  <si>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</si>
  <si>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</si>
  <si>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</si>
  <si>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</si>
  <si>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</si>
  <si>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</si>
  <si>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</si>
  <si>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</si>
  <si>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</si>
  <si>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</si>
  <si>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</si>
  <si>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</si>
  <si>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</si>
  <si>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</si>
  <si>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</si>
  <si>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</si>
  <si>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</si>
  <si>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</si>
  <si>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</si>
  <si>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</si>
  <si>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</si>
  <si>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</si>
  <si>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</si>
  <si>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</si>
  <si>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</si>
  <si>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</si>
  <si>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</si>
  <si>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</si>
  <si>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</si>
  <si>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</si>
  <si>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</si>
  <si>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</si>
  <si>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</si>
  <si>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</si>
  <si>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</si>
  <si>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</si>
  <si>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</si>
  <si>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</si>
  <si>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</si>
  <si>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</si>
  <si>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</si>
  <si>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</si>
  <si>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</si>
  <si>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</si>
  <si>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</si>
  <si>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</si>
  <si>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</si>
  <si>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</si>
  <si>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</si>
  <si>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</si>
  <si>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</si>
  <si>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</si>
  <si>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</si>
  <si>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</si>
  <si>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</si>
  <si>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</si>
  <si>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</si>
  <si>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</si>
  <si>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</si>
  <si>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</si>
  <si>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</si>
  <si>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</si>
  <si>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</si>
  <si>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</si>
  <si>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</si>
  <si>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</si>
  <si>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</si>
  <si>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</si>
  <si>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</si>
  <si>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</si>
  <si>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</si>
  <si>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</si>
  <si>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</si>
  <si>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</si>
  <si>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</si>
  <si>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</si>
  <si>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</si>
  <si>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</si>
  <si>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</si>
  <si>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</si>
  <si>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</si>
  <si>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</si>
  <si>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</si>
  <si>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</si>
  <si>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</si>
  <si>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</si>
  <si>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</si>
  <si>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</si>
  <si>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</si>
  <si>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</si>
  <si>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</si>
  <si>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</si>
  <si>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</si>
  <si>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</si>
  <si>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</si>
  <si>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</si>
  <si>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</si>
  <si>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</si>
  <si>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</si>
  <si>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</si>
  <si>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</si>
  <si>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</si>
  <si>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</si>
  <si>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</si>
  <si>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</si>
  <si>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</si>
  <si>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</si>
  <si>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</si>
  <si>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</si>
  <si>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</si>
  <si>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</si>
  <si>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</si>
  <si>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</si>
  <si>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</si>
  <si>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</si>
  <si>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</si>
  <si>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</si>
  <si>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</si>
  <si>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</si>
  <si>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</si>
  <si>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</si>
  <si>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</si>
  <si>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</si>
  <si>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</si>
  <si>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</si>
  <si>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</si>
  <si>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</si>
  <si>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</si>
  <si>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</si>
  <si>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</si>
  <si>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</si>
  <si>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</si>
  <si>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</si>
  <si>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</si>
  <si>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</si>
  <si>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</si>
  <si>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</si>
  <si>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</si>
  <si>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</si>
  <si>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</si>
  <si>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</si>
  <si>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</si>
  <si>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</si>
  <si>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</si>
  <si>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</si>
  <si>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</si>
  <si>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</si>
  <si>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</si>
  <si>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</si>
  <si>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</si>
  <si>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</si>
  <si>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</si>
  <si>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</si>
  <si>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</si>
  <si>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</si>
  <si>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</si>
  <si>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</si>
  <si>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</si>
  <si>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</si>
  <si>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</si>
  <si>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</si>
  <si>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</si>
  <si>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</si>
  <si>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</si>
  <si>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</si>
  <si>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</si>
  <si>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</si>
  <si>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</si>
  <si>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</si>
  <si>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</si>
  <si>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</si>
  <si>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</si>
  <si>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</si>
  <si>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</si>
  <si>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</si>
  <si>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</si>
  <si>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</si>
  <si>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</si>
  <si>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</si>
  <si>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</si>
  <si>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</si>
  <si>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</si>
  <si>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</si>
  <si>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</si>
  <si>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</si>
  <si>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</si>
  <si>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</si>
  <si>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</si>
  <si>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</si>
  <si>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</si>
  <si>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</si>
  <si>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</si>
  <si>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</si>
  <si>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</si>
  <si>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</si>
  <si>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</si>
  <si>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</si>
  <si>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</si>
  <si>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</si>
  <si>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</si>
  <si>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</si>
  <si>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</si>
  <si>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</si>
  <si>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</si>
  <si>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</si>
  <si>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</si>
  <si>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</si>
  <si>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</si>
  <si>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</si>
  <si>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</si>
  <si>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</si>
  <si>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</si>
  <si>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</si>
  <si>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</si>
  <si>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</si>
  <si>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</si>
  <si>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</si>
  <si>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</si>
  <si>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</si>
  <si>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</si>
  <si>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</si>
  <si>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</si>
  <si>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</si>
  <si>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</si>
  <si>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</si>
  <si>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</si>
  <si>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</si>
  <si>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</si>
  <si>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</si>
  <si>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</si>
  <si>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</si>
  <si>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</si>
  <si>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</si>
  <si>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</si>
  <si>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</si>
  <si>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</si>
  <si>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</si>
  <si>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</si>
  <si>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</si>
  <si>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</si>
  <si>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</si>
  <si>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</si>
  <si>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</si>
  <si>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</si>
  <si>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Feb = Cycle 2 Period 4 which includes Nov, Dec and Jan quarterly usage.  </t>
  </si>
  <si>
    <t>Feb-2023 Residential Number of Customers that Applied</t>
  </si>
  <si>
    <t>Feb-2019 Residential Number of Customers that Applied</t>
  </si>
  <si>
    <t>Feb-2023 Number of Residential Customers that Receive Assistance for Arrears</t>
  </si>
  <si>
    <t>Feb-2019 Number of Residential Customers that Receive Assistance for Arrears</t>
  </si>
  <si>
    <t>Average Monthly Installment Amount (Per Customer)</t>
  </si>
  <si>
    <t>7.  Much of the residential accrued interest recorded during trhe above #5 and #6 notes are prior to Marcxh 2020.</t>
  </si>
  <si>
    <t>5.  Water accrued interest suspended March 2020 to March 2022</t>
  </si>
  <si>
    <t>6.  Sewer accrued interest suspended  December 2021 to march 2022.</t>
  </si>
  <si>
    <t>2.  LIHWAP - No application report recevied from program.</t>
  </si>
  <si>
    <t>Feb-2024 Residential Number of Customers that Applied</t>
  </si>
  <si>
    <t>Feb-2024 Number of Residential Customers that Receive Assistance for Arrears</t>
  </si>
  <si>
    <t>6.  DPA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</si>
</sst>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89534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49531</xdr:colOff>
      <xdr:row>155</xdr:row>
      <xdr:rowOff>24765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26670</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2" name="Picture 1">
          <a:extLst>
            <a:ext uri="{FF2B5EF4-FFF2-40B4-BE49-F238E27FC236}">
              <a16:creationId xmlns:a16="http://schemas.microsoft.com/office/drawing/2014/main" id="{35643CCA-D276-4598-B3E9-32C9BEACB1A9}"/>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3" name="Picture 2">
          <a:extLst>
            <a:ext uri="{FF2B5EF4-FFF2-40B4-BE49-F238E27FC236}">
              <a16:creationId xmlns:a16="http://schemas.microsoft.com/office/drawing/2014/main" id="{80BC6F10-3D17-410B-84AD-3AD7AFB46B4B}"/>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4" name="Picture 3">
          <a:extLst>
            <a:ext uri="{FF2B5EF4-FFF2-40B4-BE49-F238E27FC236}">
              <a16:creationId xmlns:a16="http://schemas.microsoft.com/office/drawing/2014/main" id="{3F87DADF-CE12-4F23-9809-2B544FE5C439}"/>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5" name="Picture 4">
          <a:extLst>
            <a:ext uri="{FF2B5EF4-FFF2-40B4-BE49-F238E27FC236}">
              <a16:creationId xmlns:a16="http://schemas.microsoft.com/office/drawing/2014/main" id="{FE09A48B-D45B-49B4-BBC5-AB4112D55A78}"/>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6" name="Picture 5">
          <a:extLst>
            <a:ext uri="{FF2B5EF4-FFF2-40B4-BE49-F238E27FC236}">
              <a16:creationId xmlns:a16="http://schemas.microsoft.com/office/drawing/2014/main" id="{FFD2FFBB-6A72-41A9-9A34-F3A719B68B47}"/>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876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7" name="Picture 6">
          <a:extLst>
            <a:ext uri="{FF2B5EF4-FFF2-40B4-BE49-F238E27FC236}">
              <a16:creationId xmlns:a16="http://schemas.microsoft.com/office/drawing/2014/main" id="{268CA12E-149C-4D25-8403-814C4AABA690}"/>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5885"/>
        </a:xfrm>
        <a:prstGeom prst="rect">
          <a:avLst/>
        </a:prstGeom>
      </xdr:spPr>
    </xdr:pic>
    <xdr:clientData/>
  </xdr:twoCellAnchor>
  <xdr:twoCellAnchor editAs="oneCell">
    <xdr:from>
      <xdr:col>21</xdr:col>
      <xdr:colOff>243841</xdr:colOff>
      <xdr:row>104</xdr:row>
      <xdr:rowOff>167640</xdr:rowOff>
    </xdr:from>
    <xdr:to>
      <xdr:col>32</xdr:col>
      <xdr:colOff>57151</xdr:colOff>
      <xdr:row>155</xdr:row>
      <xdr:rowOff>17145</xdr:rowOff>
    </xdr:to>
    <xdr:pic>
      <xdr:nvPicPr>
        <xdr:cNvPr id="9" name="Picture 8">
          <a:extLst>
            <a:ext uri="{FF2B5EF4-FFF2-40B4-BE49-F238E27FC236}">
              <a16:creationId xmlns:a16="http://schemas.microsoft.com/office/drawing/2014/main" id="{E10DD11E-2B01-4CA1-AD65-5CF619A0C6D5}"/>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62675" cy="9075420"/>
        </a:xfrm>
        <a:prstGeom prst="rect">
          <a:avLst/>
        </a:prstGeom>
      </xdr:spPr>
    </xdr:pic>
    <xdr:clientData/>
  </xdr:twoCellAnchor>
  <xdr:twoCellAnchor editAs="oneCell">
    <xdr:from>
      <xdr:col>21</xdr:col>
      <xdr:colOff>245744</xdr:colOff>
      <xdr:row>154</xdr:row>
      <xdr:rowOff>175259</xdr:rowOff>
    </xdr:from>
    <xdr:to>
      <xdr:col>32</xdr:col>
      <xdr:colOff>17145</xdr:colOff>
      <xdr:row>205</xdr:row>
      <xdr:rowOff>76200</xdr:rowOff>
    </xdr:to>
    <xdr:pic>
      <xdr:nvPicPr>
        <xdr:cNvPr id="14" name="Picture 13">
          <a:extLst>
            <a:ext uri="{FF2B5EF4-FFF2-40B4-BE49-F238E27FC236}">
              <a16:creationId xmlns:a16="http://schemas.microsoft.com/office/drawing/2014/main" id="{56A901D6-6E43-4890-9BB6-FA0B5A329CDC}"/>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20766" cy="9134476"/>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16" name="Picture 15">
          <a:extLst>
            <a:ext uri="{FF2B5EF4-FFF2-40B4-BE49-F238E27FC236}">
              <a16:creationId xmlns:a16="http://schemas.microsoft.com/office/drawing/2014/main" id="{CD5DD5CA-DBDF-4887-863F-4343E26FC0D1}"/>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17144</xdr:rowOff>
    </xdr:to>
    <xdr:pic>
      <xdr:nvPicPr>
        <xdr:cNvPr id="23" name="Picture 22">
          <a:extLst>
            <a:ext uri="{FF2B5EF4-FFF2-40B4-BE49-F238E27FC236}">
              <a16:creationId xmlns:a16="http://schemas.microsoft.com/office/drawing/2014/main" id="{A1F66B19-7F59-404D-B067-5305F92E24A9}"/>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0874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24" name="Picture 23">
          <a:extLst>
            <a:ext uri="{FF2B5EF4-FFF2-40B4-BE49-F238E27FC236}">
              <a16:creationId xmlns:a16="http://schemas.microsoft.com/office/drawing/2014/main" id="{19858087-C1C2-4181-8A86-BC5C5C5907D2}"/>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20955</xdr:colOff>
      <xdr:row>205</xdr:row>
      <xdr:rowOff>64769</xdr:rowOff>
    </xdr:to>
    <xdr:pic>
      <xdr:nvPicPr>
        <xdr:cNvPr id="25" name="Picture 24">
          <a:extLst>
            <a:ext uri="{FF2B5EF4-FFF2-40B4-BE49-F238E27FC236}">
              <a16:creationId xmlns:a16="http://schemas.microsoft.com/office/drawing/2014/main" id="{54110EE8-F43D-4FE2-BC74-16C88D101BC1}"/>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6000" cy="9086849"/>
        </a:xfrm>
        <a:prstGeom prst="rect">
          <a:avLst/>
        </a:prstGeom>
      </xdr:spPr>
    </xdr:pic>
    <xdr:clientData/>
  </xdr:twoCellAnchor>
  <xdr:twoCellAnchor editAs="oneCell">
    <xdr:from>
      <xdr:col>0</xdr:col>
      <xdr:colOff>2</xdr:colOff>
      <xdr:row>4</xdr:row>
      <xdr:rowOff>152400</xdr:rowOff>
    </xdr:from>
    <xdr:to>
      <xdr:col>9</xdr:col>
      <xdr:colOff>586741</xdr:colOff>
      <xdr:row>54</xdr:row>
      <xdr:rowOff>152400</xdr:rowOff>
    </xdr:to>
    <xdr:pic>
      <xdr:nvPicPr>
        <xdr:cNvPr id="26" name="Picture 25">
          <a:extLst>
            <a:ext uri="{FF2B5EF4-FFF2-40B4-BE49-F238E27FC236}">
              <a16:creationId xmlns:a16="http://schemas.microsoft.com/office/drawing/2014/main" id="{F61510A0-53C6-407B-9E15-941BC734BCFF}"/>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3139" cy="9048750"/>
        </a:xfrm>
        <a:prstGeom prst="rect">
          <a:avLst/>
        </a:prstGeom>
      </xdr:spPr>
    </xdr:pic>
    <xdr:clientData/>
  </xdr:twoCellAnchor>
  <xdr:twoCellAnchor editAs="oneCell">
    <xdr:from>
      <xdr:col>0</xdr:col>
      <xdr:colOff>0</xdr:colOff>
      <xdr:row>55</xdr:row>
      <xdr:rowOff>95250</xdr:rowOff>
    </xdr:from>
    <xdr:to>
      <xdr:col>10</xdr:col>
      <xdr:colOff>15240</xdr:colOff>
      <xdr:row>105</xdr:row>
      <xdr:rowOff>15240</xdr:rowOff>
    </xdr:to>
    <xdr:pic>
      <xdr:nvPicPr>
        <xdr:cNvPr id="27" name="Picture 26">
          <a:extLst>
            <a:ext uri="{FF2B5EF4-FFF2-40B4-BE49-F238E27FC236}">
              <a16:creationId xmlns:a16="http://schemas.microsoft.com/office/drawing/2014/main" id="{6834C38E-4961-4491-BBC3-31B0558297BD}"/>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1240" cy="8972550"/>
        </a:xfrm>
        <a:prstGeom prst="rect">
          <a:avLst/>
        </a:prstGeom>
      </xdr:spPr>
    </xdr:pic>
    <xdr:clientData/>
  </xdr:twoCellAnchor>
  <xdr:twoCellAnchor editAs="oneCell">
    <xdr:from>
      <xdr:col>0</xdr:col>
      <xdr:colOff>0</xdr:colOff>
      <xdr:row>105</xdr:row>
      <xdr:rowOff>112394</xdr:rowOff>
    </xdr:from>
    <xdr:to>
      <xdr:col>10</xdr:col>
      <xdr:colOff>20955</xdr:colOff>
      <xdr:row>155</xdr:row>
      <xdr:rowOff>22859</xdr:rowOff>
    </xdr:to>
    <xdr:pic>
      <xdr:nvPicPr>
        <xdr:cNvPr id="28" name="Picture 27">
          <a:extLst>
            <a:ext uri="{FF2B5EF4-FFF2-40B4-BE49-F238E27FC236}">
              <a16:creationId xmlns:a16="http://schemas.microsoft.com/office/drawing/2014/main" id="{840BFD69-0035-4DF1-9A51-2FA5F901D37D}"/>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6955" cy="8959215"/>
        </a:xfrm>
        <a:prstGeom prst="rect">
          <a:avLst/>
        </a:prstGeom>
      </xdr:spPr>
    </xdr:pic>
    <xdr:clientData/>
  </xdr:twoCellAnchor>
  <xdr:twoCellAnchor editAs="oneCell">
    <xdr:from>
      <xdr:col>0</xdr:col>
      <xdr:colOff>0</xdr:colOff>
      <xdr:row>155</xdr:row>
      <xdr:rowOff>99058</xdr:rowOff>
    </xdr:from>
    <xdr:to>
      <xdr:col>10</xdr:col>
      <xdr:colOff>62865</xdr:colOff>
      <xdr:row>205</xdr:row>
      <xdr:rowOff>60959</xdr:rowOff>
    </xdr:to>
    <xdr:pic>
      <xdr:nvPicPr>
        <xdr:cNvPr id="29" name="Picture 28">
          <a:extLst>
            <a:ext uri="{FF2B5EF4-FFF2-40B4-BE49-F238E27FC236}">
              <a16:creationId xmlns:a16="http://schemas.microsoft.com/office/drawing/2014/main" id="{6AA2C81A-F2D3-4509-BD22-AE51E3F2F5B2}"/>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8865" cy="90144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45323</v>
      </c>
      <c r="B4" s="1"/>
      <c r="C4" s="1"/>
      <c r="D4" s="1"/>
      <c r="E4" s="1"/>
    </row>
    <row r="5" spans="1:5" x14ac:dyDescent="0.3">
      <c r="A5" s="225">
        <v>45412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A4" sqref="A1:AF1048576"/>
    </sheetView>
  </sheetViews>
  <sheetFormatPr defaultRowHeight="14.4" x14ac:dyDescent="0.3"/>
  <cols>
    <col min="11" max="11" width="3.77734375" customWidth="1"/>
    <col min="22" max="22" width="3.77734375" customWidth="1"/>
  </cols>
  <sheetData>
    <row r="1" spans="1:32" x14ac:dyDescent="0.3">
      <c r="A1" s="333" t="s">
        <v>262</v>
      </c>
      <c r="B1" s="333"/>
      <c r="C1" s="333"/>
      <c r="D1" s="333"/>
      <c r="E1" s="333"/>
      <c r="F1" s="333"/>
      <c r="G1" s="333"/>
      <c r="H1" s="333"/>
      <c r="I1" s="333"/>
      <c r="J1" s="333"/>
      <c r="L1" s="333" t="s">
        <v>262</v>
      </c>
      <c r="M1" s="333"/>
      <c r="N1" s="333"/>
      <c r="O1" s="333"/>
      <c r="P1" s="333"/>
      <c r="Q1" s="333"/>
      <c r="R1" s="333"/>
      <c r="S1" s="333"/>
      <c r="T1" s="333"/>
      <c r="U1" s="333"/>
      <c r="W1" s="333" t="s">
        <v>262</v>
      </c>
      <c r="X1" s="333"/>
      <c r="Y1" s="333"/>
      <c r="Z1" s="333"/>
      <c r="AA1" s="333"/>
      <c r="AB1" s="333"/>
      <c r="AC1" s="333"/>
      <c r="AD1" s="333"/>
      <c r="AE1" s="333"/>
      <c r="AF1" s="333"/>
    </row>
    <row r="2" spans="1:32" x14ac:dyDescent="0.3">
      <c r="A2" s="333" t="s">
        <v>263</v>
      </c>
      <c r="B2" s="333"/>
      <c r="C2" s="333"/>
      <c r="D2" s="333"/>
      <c r="E2" s="333"/>
      <c r="F2" s="333"/>
      <c r="G2" s="333"/>
      <c r="H2" s="333"/>
      <c r="I2" s="333"/>
      <c r="J2" s="333"/>
      <c r="L2" s="333" t="s">
        <v>263</v>
      </c>
      <c r="M2" s="333"/>
      <c r="N2" s="333"/>
      <c r="O2" s="333"/>
      <c r="P2" s="333"/>
      <c r="Q2" s="333"/>
      <c r="R2" s="333"/>
      <c r="S2" s="333"/>
      <c r="T2" s="333"/>
      <c r="U2" s="333"/>
      <c r="W2" s="333" t="s">
        <v>263</v>
      </c>
      <c r="X2" s="333"/>
      <c r="Y2" s="333"/>
      <c r="Z2" s="333"/>
      <c r="AA2" s="333"/>
      <c r="AB2" s="333"/>
      <c r="AC2" s="333"/>
      <c r="AD2" s="333"/>
      <c r="AE2" s="333"/>
      <c r="AF2" s="333"/>
    </row>
    <row r="3" spans="1:32" x14ac:dyDescent="0.3">
      <c r="A3" s="333">
        <v>2024</v>
      </c>
      <c r="B3" s="333"/>
      <c r="C3" s="333"/>
      <c r="D3" s="333"/>
      <c r="E3" s="333"/>
      <c r="F3" s="333"/>
      <c r="G3" s="333"/>
      <c r="H3" s="333"/>
      <c r="I3" s="333"/>
      <c r="J3" s="333"/>
      <c r="L3" s="333">
        <v>2023</v>
      </c>
      <c r="M3" s="333"/>
      <c r="N3" s="333"/>
      <c r="O3" s="333"/>
      <c r="P3" s="333"/>
      <c r="Q3" s="333"/>
      <c r="R3" s="333"/>
      <c r="S3" s="333"/>
      <c r="T3" s="333"/>
      <c r="U3" s="333"/>
      <c r="W3" s="333">
        <v>2019</v>
      </c>
      <c r="X3" s="333"/>
      <c r="Y3" s="333"/>
      <c r="Z3" s="333"/>
      <c r="AA3" s="333"/>
      <c r="AB3" s="333"/>
      <c r="AC3" s="333"/>
      <c r="AD3" s="333"/>
      <c r="AE3" s="333"/>
      <c r="AF3" s="333"/>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31" zoomScaleNormal="100" zoomScaleSheetLayoutView="85" zoomScalePageLayoutView="70" workbookViewId="0">
      <pane ySplit="5640" topLeftCell="A66" activePane="bottomLeft"/>
      <selection activeCell="AD35" sqref="AD35"/>
      <selection pane="bottomLeft"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318</v>
      </c>
      <c r="B10" s="258"/>
      <c r="C10" s="258"/>
      <c r="D10" s="258"/>
      <c r="E10" s="258"/>
      <c r="F10" s="258"/>
      <c r="G10" s="258"/>
      <c r="H10" s="258"/>
      <c r="I10" s="258"/>
      <c r="J10" s="258"/>
      <c r="K10" s="258"/>
      <c r="L10" s="258"/>
      <c r="M10" s="50"/>
      <c r="N10" s="230"/>
      <c r="O10" s="231"/>
      <c r="P10" s="61"/>
      <c r="Q10" s="259" t="s">
        <v>299</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300</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302</v>
      </c>
      <c r="B12" s="258"/>
      <c r="C12" s="258"/>
      <c r="D12" s="258"/>
      <c r="E12" s="258"/>
      <c r="F12" s="258"/>
      <c r="G12" s="258"/>
      <c r="H12" s="258"/>
      <c r="I12" s="258"/>
      <c r="J12" s="258"/>
      <c r="K12" s="258"/>
      <c r="L12" s="258"/>
      <c r="M12" s="50"/>
      <c r="N12" s="230"/>
      <c r="O12" s="231"/>
      <c r="P12" s="61"/>
      <c r="Q12" s="259" t="s">
        <v>301</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45323</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41729000</v>
      </c>
      <c r="G34" s="168">
        <f>36000+34853000</f>
        <v>34889000</v>
      </c>
      <c r="H34" s="168">
        <f>63333000*0.75</f>
        <v>47499750</v>
      </c>
      <c r="I34" s="168" t="s">
        <v>217</v>
      </c>
      <c r="J34" s="168">
        <f>132687.88+300+148+137302.22</f>
        <v>270438.09999999998</v>
      </c>
      <c r="K34" s="168">
        <f>60+194.4+89437.8+188152.2</f>
        <v>277844.40000000002</v>
      </c>
      <c r="L34" s="168">
        <v>321681</v>
      </c>
      <c r="M34" s="168">
        <v>689994</v>
      </c>
      <c r="N34" s="168">
        <v>3356</v>
      </c>
      <c r="O34" s="170">
        <f>2+3013</f>
        <v>3015</v>
      </c>
      <c r="Q34" s="168">
        <f>+J34/N34</f>
        <v>80.58346245530393</v>
      </c>
      <c r="R34" s="168">
        <f>+K34/O34</f>
        <v>92.154029850746269</v>
      </c>
      <c r="S34" s="168">
        <v>99.5</v>
      </c>
      <c r="T34" s="168">
        <v>127.2</v>
      </c>
      <c r="U34" s="171">
        <f>+F34/N34</f>
        <v>12434.14779499404</v>
      </c>
      <c r="V34" s="171">
        <f>+G34/O34</f>
        <v>11571.807628524046</v>
      </c>
      <c r="W34" s="168">
        <v>18000</v>
      </c>
      <c r="X34" s="168">
        <v>18000</v>
      </c>
      <c r="Z34" s="168">
        <v>548282.5</v>
      </c>
      <c r="AA34" s="168">
        <v>824735.71</v>
      </c>
      <c r="AC34" s="171">
        <f>SUM(J34:K34)</f>
        <v>548282.5</v>
      </c>
      <c r="AD34" s="171">
        <f>+Z34+214865</f>
        <v>763147.5</v>
      </c>
      <c r="AE34" s="171">
        <f>+AD34</f>
        <v>763147.5</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41729000</v>
      </c>
      <c r="G42" s="166">
        <f t="shared" ref="G42:O42" si="0">SUM(G34:G41)</f>
        <v>34889000</v>
      </c>
      <c r="H42" s="166">
        <f t="shared" si="0"/>
        <v>47499750</v>
      </c>
      <c r="I42" s="166">
        <f t="shared" si="0"/>
        <v>0</v>
      </c>
      <c r="J42" s="166">
        <f t="shared" si="0"/>
        <v>270438.09999999998</v>
      </c>
      <c r="K42" s="166">
        <f t="shared" si="0"/>
        <v>277844.40000000002</v>
      </c>
      <c r="L42" s="166">
        <f t="shared" si="0"/>
        <v>321681</v>
      </c>
      <c r="M42" s="166">
        <f t="shared" si="0"/>
        <v>689994</v>
      </c>
      <c r="N42" s="166">
        <f t="shared" si="0"/>
        <v>3356</v>
      </c>
      <c r="O42" s="166">
        <f t="shared" si="0"/>
        <v>3015</v>
      </c>
      <c r="Q42" s="166">
        <f>SUM(Q34:Q41)/1</f>
        <v>80.58346245530393</v>
      </c>
      <c r="R42" s="166">
        <f>SUM(R34:R41)/1</f>
        <v>92.154029850746269</v>
      </c>
      <c r="S42" s="166">
        <f>SUM(S34:S41)/1</f>
        <v>99.5</v>
      </c>
      <c r="T42" s="166">
        <f t="shared" ref="T42" si="1">SUM(T34:T41)</f>
        <v>127.2</v>
      </c>
      <c r="U42" s="166">
        <f t="shared" ref="U42" si="2">SUM(U34:U41)</f>
        <v>12434.14779499404</v>
      </c>
      <c r="V42" s="166">
        <f t="shared" ref="V42" si="3">SUM(V34:V41)</f>
        <v>11571.807628524046</v>
      </c>
      <c r="W42" s="166">
        <f t="shared" ref="W42" si="4">SUM(W34:W41)</f>
        <v>18000</v>
      </c>
      <c r="X42" s="166">
        <f t="shared" ref="X42" si="5">SUM(X34:X41)</f>
        <v>18000</v>
      </c>
      <c r="Z42" s="166">
        <f t="shared" ref="Z42:AE42" si="6">SUM(Z34:Z41)</f>
        <v>548282.5</v>
      </c>
      <c r="AA42" s="166">
        <f t="shared" si="6"/>
        <v>824735.71</v>
      </c>
      <c r="AC42" s="166">
        <f t="shared" si="6"/>
        <v>548282.5</v>
      </c>
      <c r="AD42" s="166">
        <f t="shared" si="6"/>
        <v>763147.5</v>
      </c>
      <c r="AE42" s="166">
        <f t="shared" si="6"/>
        <v>763147.5</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44958</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38721000</v>
      </c>
      <c r="G45" s="168">
        <f>36000+32470000</f>
        <v>32506000</v>
      </c>
      <c r="H45" s="168">
        <f>59690000*0.75</f>
        <v>44767500</v>
      </c>
      <c r="I45" s="168" t="s">
        <v>217</v>
      </c>
      <c r="J45" s="168">
        <f>126162.47+300+148+120781.38</f>
        <v>247391.85</v>
      </c>
      <c r="K45" s="168">
        <f>60+190.8+87205.75+172143.5</f>
        <v>259600.05</v>
      </c>
      <c r="L45" s="168">
        <v>374293</v>
      </c>
      <c r="M45" s="168">
        <v>883312</v>
      </c>
      <c r="N45" s="168">
        <v>3274</v>
      </c>
      <c r="O45" s="170">
        <f>2+2937</f>
        <v>2939</v>
      </c>
      <c r="Q45" s="168">
        <f>+J45/N45</f>
        <v>75.562568723274282</v>
      </c>
      <c r="R45" s="168">
        <f>+K45/O45</f>
        <v>88.329380741748892</v>
      </c>
      <c r="S45" s="168">
        <v>99.5</v>
      </c>
      <c r="T45" s="168">
        <v>127.2</v>
      </c>
      <c r="U45" s="171">
        <f>+F45/N45</f>
        <v>11826.817348808796</v>
      </c>
      <c r="V45" s="171">
        <f>+G45/O45</f>
        <v>11060.224566178973</v>
      </c>
      <c r="W45" s="168">
        <v>18000</v>
      </c>
      <c r="X45" s="168">
        <v>18000</v>
      </c>
      <c r="Z45" s="168">
        <v>506991.9</v>
      </c>
      <c r="AA45" s="168">
        <v>878456.09</v>
      </c>
      <c r="AC45" s="171">
        <f>SUM(J45:K45)</f>
        <v>506991.9</v>
      </c>
      <c r="AD45" s="171">
        <f>+Z45+269548</f>
        <v>776539.9</v>
      </c>
      <c r="AE45" s="171">
        <f>+AD45</f>
        <v>776539.9</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38721000</v>
      </c>
      <c r="G53" s="166">
        <f t="shared" ref="G53:N53" si="7">SUM(G45:G52)</f>
        <v>32506000</v>
      </c>
      <c r="H53" s="166">
        <f t="shared" si="7"/>
        <v>44767500</v>
      </c>
      <c r="I53" s="166">
        <f t="shared" si="7"/>
        <v>0</v>
      </c>
      <c r="J53" s="166">
        <f t="shared" si="7"/>
        <v>247391.85</v>
      </c>
      <c r="K53" s="166">
        <f t="shared" si="7"/>
        <v>259600.05</v>
      </c>
      <c r="L53" s="166">
        <f t="shared" si="7"/>
        <v>374293</v>
      </c>
      <c r="M53" s="166">
        <f t="shared" si="7"/>
        <v>883312</v>
      </c>
      <c r="N53" s="166">
        <f t="shared" si="7"/>
        <v>3274</v>
      </c>
      <c r="O53" s="166">
        <f t="shared" ref="O53" si="8">SUM(O45:O52)</f>
        <v>2939</v>
      </c>
      <c r="Q53" s="166">
        <f>SUM(Q45:Q52)/1</f>
        <v>75.562568723274282</v>
      </c>
      <c r="R53" s="166">
        <f>SUM(R45:R52)/1</f>
        <v>88.329380741748892</v>
      </c>
      <c r="S53" s="166">
        <f>SUM(S45:S52)/1</f>
        <v>99.5</v>
      </c>
      <c r="T53" s="166">
        <f t="shared" ref="T53" si="9">SUM(T45:T52)</f>
        <v>127.2</v>
      </c>
      <c r="U53" s="166">
        <f t="shared" ref="U53" si="10">SUM(U45:U52)</f>
        <v>11826.817348808796</v>
      </c>
      <c r="V53" s="166">
        <f t="shared" ref="V53" si="11">SUM(V45:V52)</f>
        <v>11060.224566178973</v>
      </c>
      <c r="W53" s="166">
        <f t="shared" ref="W53" si="12">SUM(W45:W52)</f>
        <v>18000</v>
      </c>
      <c r="X53" s="166">
        <f t="shared" ref="X53" si="13">SUM(X45:X52)</f>
        <v>18000</v>
      </c>
      <c r="Z53" s="166">
        <f t="shared" ref="Z53" si="14">SUM(Z45:Z52)</f>
        <v>506991.9</v>
      </c>
      <c r="AA53" s="166">
        <f t="shared" ref="AA53" si="15">SUM(AA45:AA52)</f>
        <v>878456.09</v>
      </c>
      <c r="AC53" s="166">
        <f t="shared" ref="AC53" si="16">SUM(AC45:AC52)</f>
        <v>506991.9</v>
      </c>
      <c r="AD53" s="166">
        <f t="shared" ref="AD53" si="17">SUM(AD45:AD52)</f>
        <v>776539.9</v>
      </c>
      <c r="AE53" s="166">
        <f t="shared" ref="AE53" si="18">SUM(AE45:AE52)</f>
        <v>776539.9</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43497</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39878000</v>
      </c>
      <c r="G56" s="168">
        <f>38000+34119000</f>
        <v>34157000</v>
      </c>
      <c r="H56" s="168">
        <f>56653000*0.75</f>
        <v>42489750</v>
      </c>
      <c r="I56" s="11"/>
      <c r="J56" s="168">
        <f>106336.39+225+105667.11</f>
        <v>212228.5</v>
      </c>
      <c r="K56" s="168">
        <f>31.04+193.8+81207.6+174078</f>
        <v>255510.44</v>
      </c>
      <c r="L56" s="168">
        <v>215119</v>
      </c>
      <c r="M56" s="168">
        <v>648540</v>
      </c>
      <c r="N56" s="11">
        <v>3251</v>
      </c>
      <c r="O56" s="67">
        <f>2+2921</f>
        <v>2923</v>
      </c>
      <c r="Q56" s="168">
        <f>+J56/N56</f>
        <v>65.280990464472467</v>
      </c>
      <c r="R56" s="168">
        <f>+K56/O56</f>
        <v>87.413766678070473</v>
      </c>
      <c r="S56" s="168">
        <v>82.5</v>
      </c>
      <c r="T56" s="168">
        <v>118.4</v>
      </c>
      <c r="U56" s="171">
        <f>+F56/N56</f>
        <v>12266.379575515226</v>
      </c>
      <c r="V56" s="171">
        <f>+G56/O56</f>
        <v>11685.596989394458</v>
      </c>
      <c r="W56" s="168">
        <v>17000</v>
      </c>
      <c r="X56" s="168">
        <v>17000</v>
      </c>
      <c r="Z56" s="168">
        <v>467738.94</v>
      </c>
      <c r="AA56" s="168">
        <v>672097.09</v>
      </c>
      <c r="AC56" s="171">
        <f>SUM(J56:K56)</f>
        <v>467738.94</v>
      </c>
      <c r="AD56" s="171">
        <f>+Z56+96981</f>
        <v>564719.93999999994</v>
      </c>
      <c r="AE56" s="171">
        <f>+AD56</f>
        <v>564719.93999999994</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39878000</v>
      </c>
      <c r="G64" s="166">
        <f t="shared" ref="G64:O64" si="19">SUM(G56:G63)</f>
        <v>34157000</v>
      </c>
      <c r="H64" s="166">
        <f t="shared" si="19"/>
        <v>42489750</v>
      </c>
      <c r="I64" s="166">
        <f t="shared" si="19"/>
        <v>0</v>
      </c>
      <c r="J64" s="166">
        <f t="shared" si="19"/>
        <v>212228.5</v>
      </c>
      <c r="K64" s="166">
        <f t="shared" si="19"/>
        <v>255510.44</v>
      </c>
      <c r="L64" s="166">
        <f t="shared" si="19"/>
        <v>215119</v>
      </c>
      <c r="M64" s="166">
        <f t="shared" si="19"/>
        <v>648540</v>
      </c>
      <c r="N64" s="166">
        <f t="shared" si="19"/>
        <v>3251</v>
      </c>
      <c r="O64" s="166">
        <f t="shared" si="19"/>
        <v>2923</v>
      </c>
      <c r="Q64" s="166">
        <f>SUM(Q56:Q63)/1</f>
        <v>65.280990464472467</v>
      </c>
      <c r="R64" s="166">
        <f>SUM(R56:R63)/1</f>
        <v>87.413766678070473</v>
      </c>
      <c r="S64" s="166">
        <f t="shared" ref="S64:X64" si="20">SUM(S56:S63)</f>
        <v>82.5</v>
      </c>
      <c r="T64" s="166">
        <f t="shared" si="20"/>
        <v>118.4</v>
      </c>
      <c r="U64" s="166">
        <f t="shared" si="20"/>
        <v>12266.379575515226</v>
      </c>
      <c r="V64" s="166">
        <f t="shared" si="20"/>
        <v>11685.596989394458</v>
      </c>
      <c r="W64" s="166">
        <f t="shared" si="20"/>
        <v>17000</v>
      </c>
      <c r="X64" s="166">
        <f t="shared" si="20"/>
        <v>17000</v>
      </c>
      <c r="Z64" s="166">
        <f t="shared" ref="Z64:AA64" si="21">SUM(Z56:Z63)</f>
        <v>467738.94</v>
      </c>
      <c r="AA64" s="166">
        <f t="shared" si="21"/>
        <v>672097.09</v>
      </c>
      <c r="AC64" s="166">
        <f t="shared" ref="AC64:AE64" si="22">SUM(AC56:AC63)</f>
        <v>467738.94</v>
      </c>
      <c r="AD64" s="166">
        <f t="shared" si="22"/>
        <v>564719.93999999994</v>
      </c>
      <c r="AE64" s="166">
        <f t="shared" si="22"/>
        <v>564719.93999999994</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45323</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6665000</v>
      </c>
      <c r="G68" s="168">
        <f>66000+6388000</f>
        <v>6454000</v>
      </c>
      <c r="H68" s="168">
        <f>63333000*0.25</f>
        <v>15833250</v>
      </c>
      <c r="I68" s="168" t="s">
        <v>217</v>
      </c>
      <c r="J68" s="168">
        <f>120+300+148+1314+3628+3652+3784+41043.15</f>
        <v>53989.15</v>
      </c>
      <c r="K68" s="172">
        <f>2790+356.4+9750+43429.6</f>
        <v>56326</v>
      </c>
      <c r="L68" s="168">
        <v>107217</v>
      </c>
      <c r="M68" s="168">
        <v>229998</v>
      </c>
      <c r="N68" s="168">
        <v>18</v>
      </c>
      <c r="O68" s="67">
        <f>1+13</f>
        <v>14</v>
      </c>
      <c r="Q68" s="168">
        <f>+J68/N68</f>
        <v>2999.3972222222224</v>
      </c>
      <c r="R68" s="168">
        <f>+K68/O68</f>
        <v>4023.2857142857142</v>
      </c>
      <c r="S68" s="168">
        <v>99.5</v>
      </c>
      <c r="T68" s="168">
        <v>127.2</v>
      </c>
      <c r="U68" s="171">
        <f>+F68/N68</f>
        <v>370277.77777777775</v>
      </c>
      <c r="V68" s="171">
        <f>+G68/O68</f>
        <v>461000</v>
      </c>
      <c r="W68" s="168">
        <v>18000</v>
      </c>
      <c r="X68" s="168">
        <v>18000</v>
      </c>
      <c r="Z68" s="168">
        <v>164034.16</v>
      </c>
      <c r="AA68" s="168">
        <v>231853.42</v>
      </c>
      <c r="AC68" s="171">
        <f>SUM(J68:K68)</f>
        <v>110315.15</v>
      </c>
      <c r="AD68" s="171">
        <f>+Z68+71622</f>
        <v>235656.16</v>
      </c>
      <c r="AE68" s="171">
        <f>+AD68</f>
        <v>235656.16</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6665000</v>
      </c>
      <c r="G75" s="166">
        <f t="shared" ref="G75:M75" si="23">SUM(G68:G74)</f>
        <v>6454000</v>
      </c>
      <c r="H75" s="166">
        <f t="shared" si="23"/>
        <v>15833250</v>
      </c>
      <c r="I75" s="166">
        <f t="shared" si="23"/>
        <v>0</v>
      </c>
      <c r="J75" s="166">
        <f t="shared" si="23"/>
        <v>53989.15</v>
      </c>
      <c r="K75" s="166">
        <f t="shared" si="23"/>
        <v>56326</v>
      </c>
      <c r="L75" s="166">
        <f t="shared" si="23"/>
        <v>107217</v>
      </c>
      <c r="M75" s="166">
        <f t="shared" si="23"/>
        <v>229998</v>
      </c>
      <c r="N75" s="166">
        <f t="shared" ref="N75:O75" si="24">SUM(N68:N74)</f>
        <v>18</v>
      </c>
      <c r="O75" s="166">
        <f t="shared" si="24"/>
        <v>14</v>
      </c>
      <c r="Q75" s="166">
        <f>SUM(Q68:Q74)/1</f>
        <v>2999.3972222222224</v>
      </c>
      <c r="R75" s="166">
        <f>SUM(R68:R74)/1</f>
        <v>4023.2857142857142</v>
      </c>
      <c r="S75" s="166">
        <f t="shared" ref="S75:X75" si="25">SUM(S68:S74)</f>
        <v>99.5</v>
      </c>
      <c r="T75" s="166">
        <f t="shared" si="25"/>
        <v>127.2</v>
      </c>
      <c r="U75" s="166">
        <f t="shared" si="25"/>
        <v>370277.77777777775</v>
      </c>
      <c r="V75" s="166">
        <f t="shared" si="25"/>
        <v>461000</v>
      </c>
      <c r="W75" s="166">
        <f t="shared" si="25"/>
        <v>18000</v>
      </c>
      <c r="X75" s="166">
        <f t="shared" si="25"/>
        <v>18000</v>
      </c>
      <c r="Z75" s="166">
        <f t="shared" ref="Z75:AA75" si="26">SUM(Z68:Z74)</f>
        <v>164034.16</v>
      </c>
      <c r="AA75" s="166">
        <f t="shared" si="26"/>
        <v>231853.42</v>
      </c>
      <c r="AC75" s="166">
        <f t="shared" ref="AC75:AE75" si="27">SUM(AC68:AC74)</f>
        <v>110315.15</v>
      </c>
      <c r="AD75" s="166">
        <f t="shared" si="27"/>
        <v>235656.16</v>
      </c>
      <c r="AE75" s="166">
        <f t="shared" si="27"/>
        <v>235656.16</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44958</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5397000</v>
      </c>
      <c r="G78" s="168">
        <f>71000+5116000</f>
        <v>5187000</v>
      </c>
      <c r="H78" s="168">
        <f>59690000*0.25</f>
        <v>14922500</v>
      </c>
      <c r="I78" s="168" t="s">
        <v>217</v>
      </c>
      <c r="J78" s="168">
        <f>117+300+296+1314+3628+3652+3784+31992.3</f>
        <v>45083.3</v>
      </c>
      <c r="K78" s="172">
        <f>1698.26+393.52+9780+34577.8</f>
        <v>46449.58</v>
      </c>
      <c r="L78" s="168">
        <v>93573</v>
      </c>
      <c r="M78" s="168">
        <v>220828</v>
      </c>
      <c r="N78" s="168">
        <v>19</v>
      </c>
      <c r="O78" s="67">
        <f>1+14</f>
        <v>15</v>
      </c>
      <c r="Q78" s="168">
        <f>+J78/N78</f>
        <v>2372.8052631578948</v>
      </c>
      <c r="R78" s="168">
        <f>+K78/O78</f>
        <v>3096.6386666666667</v>
      </c>
      <c r="S78" s="168">
        <v>99.5</v>
      </c>
      <c r="T78" s="168">
        <v>127.2</v>
      </c>
      <c r="U78" s="171">
        <f>+F78/N78</f>
        <v>284052.63157894736</v>
      </c>
      <c r="V78" s="171">
        <f>+G78/O78</f>
        <v>345800</v>
      </c>
      <c r="W78" s="168">
        <v>18000</v>
      </c>
      <c r="X78" s="168">
        <v>18000</v>
      </c>
      <c r="Z78" s="168">
        <v>145251.89000000001</v>
      </c>
      <c r="AA78" s="168">
        <v>230544.77</v>
      </c>
      <c r="AC78" s="171">
        <f>SUM(J78:K78)</f>
        <v>91532.88</v>
      </c>
      <c r="AD78" s="171">
        <f>+Z78+89849</f>
        <v>235100.89</v>
      </c>
      <c r="AE78" s="171">
        <f>+AD78</f>
        <v>235100.89</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5397000</v>
      </c>
      <c r="G85" s="166">
        <f t="shared" ref="G85:M85" si="28">SUM(G78:G84)</f>
        <v>5187000</v>
      </c>
      <c r="H85" s="166">
        <f t="shared" si="28"/>
        <v>14922500</v>
      </c>
      <c r="I85" s="166">
        <f t="shared" si="28"/>
        <v>0</v>
      </c>
      <c r="J85" s="166">
        <f t="shared" si="28"/>
        <v>45083.3</v>
      </c>
      <c r="K85" s="166">
        <f t="shared" si="28"/>
        <v>46449.58</v>
      </c>
      <c r="L85" s="166">
        <f t="shared" si="28"/>
        <v>93573</v>
      </c>
      <c r="M85" s="166">
        <f t="shared" si="28"/>
        <v>220828</v>
      </c>
      <c r="N85" s="166">
        <f t="shared" ref="N85:O85" si="29">SUM(N78:N84)</f>
        <v>19</v>
      </c>
      <c r="O85" s="166">
        <f t="shared" si="29"/>
        <v>15</v>
      </c>
      <c r="Q85" s="166">
        <f>SUM(Q78:Q84)/1</f>
        <v>2372.8052631578948</v>
      </c>
      <c r="R85" s="166">
        <f>SUM(R78:R84)/1</f>
        <v>3096.6386666666667</v>
      </c>
      <c r="S85" s="166">
        <f t="shared" ref="S85:T85" si="30">SUM(S78:S84)/1</f>
        <v>99.5</v>
      </c>
      <c r="T85" s="166">
        <f t="shared" si="30"/>
        <v>127.2</v>
      </c>
      <c r="U85" s="166">
        <f t="shared" ref="U85:X85" si="31">SUM(U78:U84)</f>
        <v>284052.63157894736</v>
      </c>
      <c r="V85" s="166">
        <f t="shared" si="31"/>
        <v>345800</v>
      </c>
      <c r="W85" s="166">
        <f t="shared" si="31"/>
        <v>18000</v>
      </c>
      <c r="X85" s="166">
        <f t="shared" si="31"/>
        <v>18000</v>
      </c>
      <c r="Z85" s="166">
        <f t="shared" ref="Z85:AA85" si="32">SUM(Z78:Z84)</f>
        <v>145251.89000000001</v>
      </c>
      <c r="AA85" s="166">
        <f t="shared" si="32"/>
        <v>230544.77</v>
      </c>
      <c r="AC85" s="166">
        <f t="shared" ref="AC85:AE85" si="33">SUM(AC78:AC84)</f>
        <v>91532.88</v>
      </c>
      <c r="AD85" s="166">
        <f t="shared" si="33"/>
        <v>235100.89</v>
      </c>
      <c r="AE85" s="166">
        <f t="shared" si="33"/>
        <v>235100.89</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43497</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6048000</v>
      </c>
      <c r="G88" s="168">
        <f>1234000+5839000</f>
        <v>7073000</v>
      </c>
      <c r="H88" s="168">
        <f>56653000*0.25</f>
        <v>14163250</v>
      </c>
      <c r="I88" s="11"/>
      <c r="J88" s="168">
        <f>66+300+296+876+3628+3652+3784+34111.05</f>
        <v>46713.05</v>
      </c>
      <c r="K88" s="168">
        <f>2604+8448+9100+39455.6</f>
        <v>59607.6</v>
      </c>
      <c r="L88" s="168">
        <v>71706</v>
      </c>
      <c r="M88" s="168">
        <v>216180</v>
      </c>
      <c r="N88" s="11">
        <v>17</v>
      </c>
      <c r="O88" s="67">
        <f>1+13</f>
        <v>14</v>
      </c>
      <c r="Q88" s="168">
        <f>+J88/N88</f>
        <v>2747.8264705882357</v>
      </c>
      <c r="R88" s="168">
        <f>+K88/O88</f>
        <v>4257.6857142857143</v>
      </c>
      <c r="S88" s="168">
        <v>82.5</v>
      </c>
      <c r="T88" s="168">
        <v>118.4</v>
      </c>
      <c r="U88" s="171">
        <f>+F88/N88</f>
        <v>355764.70588235295</v>
      </c>
      <c r="V88" s="171">
        <f>+G88/O88</f>
        <v>505214.28571428574</v>
      </c>
      <c r="W88" s="168">
        <v>17000</v>
      </c>
      <c r="X88" s="168">
        <v>17000</v>
      </c>
      <c r="Z88" s="168">
        <v>157314.14000000001</v>
      </c>
      <c r="AA88" s="168">
        <v>188134.53</v>
      </c>
      <c r="AC88" s="171">
        <f>SUM(J88:K88)</f>
        <v>106320.65</v>
      </c>
      <c r="AD88" s="171">
        <f>+Z88+32327</f>
        <v>189641.14</v>
      </c>
      <c r="AE88" s="171">
        <f>+AD88</f>
        <v>189641.14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6048000</v>
      </c>
      <c r="G95" s="166">
        <f t="shared" ref="G95:M95" si="34">SUM(G88:G94)</f>
        <v>7073000</v>
      </c>
      <c r="H95" s="166">
        <f t="shared" si="34"/>
        <v>14163250</v>
      </c>
      <c r="I95" s="166">
        <f t="shared" si="34"/>
        <v>0</v>
      </c>
      <c r="J95" s="166">
        <f t="shared" si="34"/>
        <v>46713.05</v>
      </c>
      <c r="K95" s="166">
        <f t="shared" si="34"/>
        <v>59607.6</v>
      </c>
      <c r="L95" s="166">
        <f t="shared" si="34"/>
        <v>71706</v>
      </c>
      <c r="M95" s="166">
        <f t="shared" si="34"/>
        <v>216180</v>
      </c>
      <c r="N95" s="166">
        <f t="shared" ref="N95:O95" si="35">SUM(N88:N94)</f>
        <v>17</v>
      </c>
      <c r="O95" s="166">
        <f t="shared" si="35"/>
        <v>14</v>
      </c>
      <c r="Q95" s="166">
        <f>SUM(Q88:Q94)/1</f>
        <v>2747.8264705882357</v>
      </c>
      <c r="R95" s="166">
        <f>SUM(R88:R94)/1</f>
        <v>4257.6857142857143</v>
      </c>
      <c r="S95" s="166">
        <f t="shared" ref="S95:T95" si="36">SUM(S88:S94)/1</f>
        <v>82.5</v>
      </c>
      <c r="T95" s="166">
        <f t="shared" si="36"/>
        <v>118.4</v>
      </c>
      <c r="U95" s="166">
        <f t="shared" ref="U95:X95" si="37">SUM(U88:U94)</f>
        <v>355764.70588235295</v>
      </c>
      <c r="V95" s="166">
        <f t="shared" si="37"/>
        <v>505214.28571428574</v>
      </c>
      <c r="W95" s="166">
        <f t="shared" si="37"/>
        <v>17000</v>
      </c>
      <c r="X95" s="166">
        <f t="shared" si="37"/>
        <v>17000</v>
      </c>
      <c r="Z95" s="166">
        <f t="shared" ref="Z95:AA95" si="38">SUM(Z88:Z94)</f>
        <v>157314.14000000001</v>
      </c>
      <c r="AA95" s="166">
        <f t="shared" si="38"/>
        <v>188134.53</v>
      </c>
      <c r="AC95" s="166">
        <f t="shared" ref="AC95:AE95" si="39">SUM(AC88:AC94)</f>
        <v>106320.65</v>
      </c>
      <c r="AD95" s="166">
        <f t="shared" si="39"/>
        <v>189641.14</v>
      </c>
      <c r="AE95" s="166">
        <f t="shared" si="39"/>
        <v>189641.14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3"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303</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45346</v>
      </c>
      <c r="B22" s="11" t="s">
        <v>195</v>
      </c>
      <c r="C22" s="11" t="s">
        <v>196</v>
      </c>
      <c r="D22" s="164" t="s">
        <v>216</v>
      </c>
      <c r="E22" s="11"/>
      <c r="F22" s="11"/>
      <c r="G22" s="11"/>
      <c r="H22" s="11"/>
      <c r="I22" s="11"/>
      <c r="J22" s="11"/>
      <c r="M22" s="168">
        <v>61666</v>
      </c>
      <c r="N22" s="168">
        <v>129554</v>
      </c>
      <c r="O22" s="168">
        <v>136915</v>
      </c>
      <c r="P22" s="168">
        <v>55307</v>
      </c>
      <c r="Q22" s="168">
        <v>77572</v>
      </c>
      <c r="R22" s="168">
        <v>224296</v>
      </c>
      <c r="S22" s="4"/>
      <c r="T22" s="4"/>
      <c r="U22" s="11"/>
      <c r="V22" s="11"/>
      <c r="W22" s="11"/>
      <c r="X22" s="11"/>
      <c r="Y22" s="11"/>
      <c r="Z22" s="11"/>
      <c r="AA22" s="4"/>
      <c r="AB22" s="11" t="s">
        <v>195</v>
      </c>
      <c r="AC22" s="11" t="s">
        <v>196</v>
      </c>
      <c r="AD22" s="164" t="s">
        <v>216</v>
      </c>
      <c r="AE22" s="21"/>
      <c r="AF22" s="21"/>
      <c r="AG22" s="21"/>
      <c r="AH22" s="21"/>
      <c r="AI22" s="21"/>
      <c r="AJ22" s="21"/>
      <c r="AK22" s="4"/>
      <c r="AL22" s="4"/>
      <c r="AM22" s="191">
        <v>82123</v>
      </c>
      <c r="AN22" s="191">
        <v>129</v>
      </c>
      <c r="AO22" s="191">
        <v>35466</v>
      </c>
      <c r="AP22" s="191">
        <v>-593</v>
      </c>
      <c r="AQ22" s="191">
        <v>1237</v>
      </c>
      <c r="AR22" s="191">
        <v>107315</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61666</v>
      </c>
      <c r="N34" s="166">
        <f t="shared" si="1"/>
        <v>129554</v>
      </c>
      <c r="O34" s="166">
        <f t="shared" si="1"/>
        <v>136915</v>
      </c>
      <c r="P34" s="166">
        <f t="shared" si="1"/>
        <v>55307</v>
      </c>
      <c r="Q34" s="166">
        <f t="shared" si="1"/>
        <v>77572</v>
      </c>
      <c r="R34" s="166">
        <f t="shared" si="1"/>
        <v>224296</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82123</v>
      </c>
      <c r="AN34" s="167">
        <f t="shared" si="4"/>
        <v>129</v>
      </c>
      <c r="AO34" s="167">
        <f t="shared" si="4"/>
        <v>35466</v>
      </c>
      <c r="AP34" s="167">
        <f t="shared" si="4"/>
        <v>-593</v>
      </c>
      <c r="AQ34" s="167">
        <f t="shared" si="4"/>
        <v>1237</v>
      </c>
      <c r="AR34" s="167">
        <f t="shared" si="4"/>
        <v>107315</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44958</v>
      </c>
      <c r="B38" s="11" t="s">
        <v>195</v>
      </c>
      <c r="C38" s="11" t="s">
        <v>196</v>
      </c>
      <c r="D38" s="164" t="s">
        <v>216</v>
      </c>
      <c r="E38" s="11"/>
      <c r="F38" s="11"/>
      <c r="G38" s="11"/>
      <c r="H38" s="11"/>
      <c r="I38" s="11"/>
      <c r="J38" s="11"/>
      <c r="M38" s="168">
        <v>69187</v>
      </c>
      <c r="N38" s="168">
        <v>107688</v>
      </c>
      <c r="O38" s="168">
        <v>141333</v>
      </c>
      <c r="P38" s="168">
        <v>60109</v>
      </c>
      <c r="Q38" s="168">
        <v>56389</v>
      </c>
      <c r="R38" s="168">
        <v>211670</v>
      </c>
      <c r="S38" s="4"/>
      <c r="T38" s="4"/>
      <c r="U38" s="11"/>
      <c r="V38" s="11"/>
      <c r="W38" s="11"/>
      <c r="X38" s="11"/>
      <c r="Y38" s="11"/>
      <c r="Z38" s="11"/>
      <c r="AA38" s="4"/>
      <c r="AB38" s="11" t="s">
        <v>195</v>
      </c>
      <c r="AC38" s="11" t="s">
        <v>196</v>
      </c>
      <c r="AD38" s="164" t="s">
        <v>216</v>
      </c>
      <c r="AE38" s="21"/>
      <c r="AF38" s="21"/>
      <c r="AG38" s="21"/>
      <c r="AH38" s="21"/>
      <c r="AI38" s="21"/>
      <c r="AJ38" s="21"/>
      <c r="AK38" s="4"/>
      <c r="AL38" s="4"/>
      <c r="AM38" s="191">
        <v>63129</v>
      </c>
      <c r="AN38" s="191">
        <v>1150</v>
      </c>
      <c r="AO38" s="191">
        <v>25097</v>
      </c>
      <c r="AP38" s="191">
        <v>-60</v>
      </c>
      <c r="AQ38" s="191">
        <v>2</v>
      </c>
      <c r="AR38" s="191">
        <v>153615</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69187</v>
      </c>
      <c r="N50" s="165">
        <f t="shared" si="7"/>
        <v>107688</v>
      </c>
      <c r="O50" s="165">
        <f t="shared" si="7"/>
        <v>141333</v>
      </c>
      <c r="P50" s="165">
        <f t="shared" si="7"/>
        <v>60109</v>
      </c>
      <c r="Q50" s="165">
        <f t="shared" si="7"/>
        <v>56389</v>
      </c>
      <c r="R50" s="165">
        <f t="shared" si="7"/>
        <v>211670</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63129</v>
      </c>
      <c r="AN50" s="165">
        <f t="shared" si="10"/>
        <v>1150</v>
      </c>
      <c r="AO50" s="165">
        <f t="shared" si="10"/>
        <v>25097</v>
      </c>
      <c r="AP50" s="165">
        <f t="shared" si="10"/>
        <v>-60</v>
      </c>
      <c r="AQ50" s="165">
        <f t="shared" si="10"/>
        <v>2</v>
      </c>
      <c r="AR50" s="165">
        <f t="shared" si="10"/>
        <v>153615</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43497</v>
      </c>
      <c r="B54" s="11" t="s">
        <v>195</v>
      </c>
      <c r="C54" s="11" t="s">
        <v>196</v>
      </c>
      <c r="D54" s="164" t="s">
        <v>216</v>
      </c>
      <c r="E54" s="11"/>
      <c r="F54" s="11"/>
      <c r="G54" s="11"/>
      <c r="H54" s="11"/>
      <c r="I54" s="11"/>
      <c r="J54" s="11"/>
      <c r="M54" s="168">
        <v>38828</v>
      </c>
      <c r="N54" s="197">
        <v>94425</v>
      </c>
      <c r="O54" s="168">
        <v>129367</v>
      </c>
      <c r="P54" s="168">
        <v>37734</v>
      </c>
      <c r="Q54" s="168">
        <v>62613</v>
      </c>
      <c r="R54" s="168">
        <v>252028</v>
      </c>
      <c r="S54" s="4"/>
      <c r="T54" s="4"/>
      <c r="U54" s="11"/>
      <c r="V54" s="11"/>
      <c r="W54" s="11"/>
      <c r="X54" s="11"/>
      <c r="Y54" s="11"/>
      <c r="Z54" s="11"/>
      <c r="AA54" s="4"/>
      <c r="AB54" s="11" t="s">
        <v>195</v>
      </c>
      <c r="AC54" s="11" t="s">
        <v>196</v>
      </c>
      <c r="AD54" s="164" t="s">
        <v>216</v>
      </c>
      <c r="AE54" s="21"/>
      <c r="AF54" s="21"/>
      <c r="AG54" s="21"/>
      <c r="AH54" s="21"/>
      <c r="AI54" s="21"/>
      <c r="AJ54" s="21"/>
      <c r="AK54" s="4"/>
      <c r="AL54" s="4"/>
      <c r="AM54" s="191">
        <v>19343</v>
      </c>
      <c r="AN54" s="191">
        <v>-753</v>
      </c>
      <c r="AO54" s="191">
        <v>26004</v>
      </c>
      <c r="AP54" s="191">
        <v>0</v>
      </c>
      <c r="AQ54" s="191">
        <v>0</v>
      </c>
      <c r="AR54" s="191">
        <v>50974</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38828</v>
      </c>
      <c r="N66" s="165">
        <f t="shared" si="13"/>
        <v>94425</v>
      </c>
      <c r="O66" s="165">
        <f t="shared" si="13"/>
        <v>129367</v>
      </c>
      <c r="P66" s="165">
        <f t="shared" si="13"/>
        <v>37734</v>
      </c>
      <c r="Q66" s="165">
        <f t="shared" si="13"/>
        <v>62613</v>
      </c>
      <c r="R66" s="165">
        <f t="shared" si="13"/>
        <v>252028</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19343</v>
      </c>
      <c r="AN66" s="165">
        <f t="shared" si="16"/>
        <v>-753</v>
      </c>
      <c r="AO66" s="165">
        <f t="shared" si="16"/>
        <v>26004</v>
      </c>
      <c r="AP66" s="165">
        <f t="shared" si="16"/>
        <v>0</v>
      </c>
      <c r="AQ66" s="165">
        <f t="shared" si="16"/>
        <v>0</v>
      </c>
      <c r="AR66" s="165">
        <f t="shared" si="16"/>
        <v>50974</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S33"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5" t="s">
        <v>33</v>
      </c>
      <c r="B2" s="316"/>
      <c r="C2" s="316"/>
      <c r="D2" s="317"/>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3"/>
      <c r="B8" s="313"/>
      <c r="C8" s="313"/>
      <c r="D8" s="313"/>
      <c r="E8" s="313"/>
      <c r="F8" s="313"/>
      <c r="G8" s="313"/>
      <c r="H8" s="313"/>
      <c r="I8" s="313"/>
      <c r="J8" s="313"/>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3"/>
      <c r="B10" s="313"/>
      <c r="C10" s="313"/>
      <c r="D10" s="313"/>
      <c r="E10" s="313"/>
      <c r="F10" s="313"/>
      <c r="G10" s="313"/>
      <c r="H10" s="313"/>
      <c r="I10" s="313"/>
      <c r="J10" s="313"/>
      <c r="L10" s="313"/>
      <c r="M10" s="313"/>
      <c r="N10" s="313"/>
      <c r="O10" s="313"/>
      <c r="P10" s="313"/>
      <c r="Q10" s="313"/>
      <c r="R10" s="313"/>
      <c r="S10" s="313"/>
      <c r="T10" s="313"/>
      <c r="U10" s="313"/>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09" t="s">
        <v>282</v>
      </c>
      <c r="W11" s="314"/>
      <c r="X11" s="314"/>
      <c r="Y11" s="314"/>
      <c r="Z11" s="314"/>
      <c r="AA11" s="314"/>
      <c r="AB11" s="314"/>
      <c r="AC11" s="314"/>
      <c r="AD11" s="314"/>
    </row>
    <row r="12" spans="1:31" ht="17.399999999999999" customHeight="1" x14ac:dyDescent="0.3">
      <c r="A12" s="258" t="s">
        <v>279</v>
      </c>
      <c r="B12" s="258"/>
      <c r="C12" s="258"/>
      <c r="D12" s="258"/>
      <c r="E12" s="258"/>
      <c r="F12" s="258"/>
      <c r="G12" s="258"/>
      <c r="H12" s="258"/>
      <c r="I12" s="258"/>
      <c r="J12" s="258"/>
      <c r="L12" s="258" t="s">
        <v>279</v>
      </c>
      <c r="M12" s="258"/>
      <c r="N12" s="258"/>
      <c r="O12" s="258"/>
      <c r="P12" s="258"/>
      <c r="Q12" s="258"/>
      <c r="R12" s="258"/>
      <c r="S12" s="258"/>
      <c r="T12" s="258"/>
      <c r="U12" s="258"/>
      <c r="V12" s="309" t="s">
        <v>283</v>
      </c>
      <c r="W12" s="314"/>
      <c r="X12" s="314"/>
      <c r="Y12" s="314"/>
      <c r="Z12" s="314"/>
      <c r="AA12" s="314"/>
      <c r="AB12" s="314"/>
      <c r="AC12" s="314"/>
      <c r="AD12" s="314"/>
    </row>
    <row r="13" spans="1:31" ht="17.399999999999999" customHeight="1" x14ac:dyDescent="0.3">
      <c r="A13" s="258" t="s">
        <v>280</v>
      </c>
      <c r="B13" s="258"/>
      <c r="C13" s="258"/>
      <c r="D13" s="258"/>
      <c r="E13" s="258"/>
      <c r="F13" s="258"/>
      <c r="G13" s="258"/>
      <c r="H13" s="258"/>
      <c r="I13" s="258"/>
      <c r="J13" s="258"/>
      <c r="L13" s="258" t="s">
        <v>280</v>
      </c>
      <c r="M13" s="258"/>
      <c r="N13" s="258"/>
      <c r="O13" s="258"/>
      <c r="P13" s="258"/>
      <c r="Q13" s="258"/>
      <c r="R13" s="258"/>
      <c r="S13" s="258"/>
      <c r="T13" s="258"/>
      <c r="U13" s="258"/>
      <c r="V13" s="309" t="s">
        <v>285</v>
      </c>
      <c r="W13" s="314"/>
      <c r="X13" s="314"/>
      <c r="Y13" s="314"/>
      <c r="Z13" s="314"/>
      <c r="AA13" s="314"/>
      <c r="AB13" s="314"/>
      <c r="AC13" s="314"/>
      <c r="AD13" s="314"/>
      <c r="AE13" s="4" t="s">
        <v>284</v>
      </c>
    </row>
    <row r="14" spans="1:31" ht="17.399999999999999" customHeight="1" x14ac:dyDescent="0.3">
      <c r="A14" s="258" t="s">
        <v>286</v>
      </c>
      <c r="B14" s="258"/>
      <c r="C14" s="258"/>
      <c r="D14" s="258"/>
      <c r="E14" s="258"/>
      <c r="F14" s="258"/>
      <c r="G14" s="258"/>
      <c r="H14" s="258"/>
      <c r="I14" s="258"/>
      <c r="J14" s="258"/>
      <c r="L14" s="258" t="s">
        <v>281</v>
      </c>
      <c r="M14" s="258"/>
      <c r="N14" s="258"/>
      <c r="O14" s="258"/>
      <c r="P14" s="258"/>
      <c r="Q14" s="258"/>
      <c r="R14" s="258"/>
      <c r="S14" s="258"/>
      <c r="T14" s="258"/>
      <c r="U14" s="258"/>
      <c r="V14" s="309" t="s">
        <v>290</v>
      </c>
      <c r="W14" s="258"/>
      <c r="X14" s="258"/>
      <c r="Y14" s="258"/>
      <c r="Z14" s="258"/>
      <c r="AA14" s="258"/>
      <c r="AB14" s="258"/>
      <c r="AC14" s="258"/>
      <c r="AD14" s="258"/>
    </row>
    <row r="15" spans="1:31" ht="17.399999999999999" customHeight="1" x14ac:dyDescent="0.3">
      <c r="A15" s="258" t="s">
        <v>288</v>
      </c>
      <c r="B15" s="258"/>
      <c r="C15" s="258"/>
      <c r="D15" s="258"/>
      <c r="E15" s="258"/>
      <c r="F15" s="258"/>
      <c r="G15" s="258"/>
      <c r="H15" s="258"/>
      <c r="I15" s="258"/>
      <c r="J15" s="258"/>
      <c r="L15" s="258" t="s">
        <v>287</v>
      </c>
      <c r="M15" s="258"/>
      <c r="N15" s="258"/>
      <c r="O15" s="258"/>
      <c r="P15" s="258"/>
      <c r="Q15" s="258"/>
      <c r="R15" s="258"/>
      <c r="S15" s="258"/>
      <c r="T15" s="258"/>
      <c r="U15" s="258"/>
      <c r="V15" s="309" t="s">
        <v>325</v>
      </c>
      <c r="W15" s="258"/>
      <c r="X15" s="258"/>
      <c r="Y15" s="258"/>
      <c r="Z15" s="258"/>
      <c r="AA15" s="258"/>
      <c r="AB15" s="258"/>
      <c r="AC15" s="258"/>
      <c r="AD15" s="258"/>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09" t="s">
        <v>326</v>
      </c>
      <c r="W16" s="258"/>
      <c r="X16" s="258"/>
      <c r="Y16" s="258"/>
      <c r="Z16" s="258"/>
      <c r="AA16" s="258"/>
      <c r="AB16" s="258"/>
      <c r="AC16" s="258"/>
      <c r="AD16" s="258"/>
    </row>
    <row r="17" spans="1:30" ht="17.399999999999999" customHeight="1" x14ac:dyDescent="0.3">
      <c r="A17" s="258" t="s">
        <v>330</v>
      </c>
      <c r="B17" s="258"/>
      <c r="C17" s="258"/>
      <c r="D17" s="258"/>
      <c r="E17" s="258"/>
      <c r="F17" s="258"/>
      <c r="G17" s="258"/>
      <c r="H17" s="258"/>
      <c r="I17" s="258"/>
      <c r="J17" s="258"/>
      <c r="L17" s="188"/>
      <c r="M17" s="188"/>
      <c r="N17" s="188"/>
      <c r="O17" s="188"/>
      <c r="P17" s="188"/>
      <c r="Q17" s="188"/>
      <c r="R17" s="188"/>
      <c r="S17" s="188"/>
      <c r="T17" s="188"/>
      <c r="U17" s="188"/>
      <c r="V17" s="227" t="s">
        <v>324</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45323</v>
      </c>
      <c r="B20" s="64" t="s">
        <v>114</v>
      </c>
      <c r="C20" s="64" t="s">
        <v>17</v>
      </c>
      <c r="D20" s="64" t="s">
        <v>108</v>
      </c>
      <c r="E20" s="64" t="s">
        <v>18</v>
      </c>
      <c r="F20" s="65" t="s">
        <v>137</v>
      </c>
      <c r="G20" s="65" t="s">
        <v>323</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I21/10</f>
        <v>#DIV/0!</v>
      </c>
      <c r="H21" s="168">
        <v>0</v>
      </c>
      <c r="I21" s="168" t="e">
        <f>+H21/F21</f>
        <v>#DIV/0!</v>
      </c>
      <c r="J21" s="11">
        <v>0</v>
      </c>
      <c r="L21" s="11"/>
      <c r="M21" s="11"/>
      <c r="N21" s="11"/>
      <c r="O21" s="11"/>
      <c r="P21" s="11"/>
      <c r="Q21" s="11"/>
      <c r="R21" s="11"/>
      <c r="S21" s="11"/>
      <c r="T21" s="11"/>
      <c r="V21" s="11"/>
      <c r="W21" s="11"/>
      <c r="X21" s="11"/>
      <c r="Y21" s="11"/>
      <c r="Z21" s="11"/>
      <c r="AA21" s="11"/>
      <c r="AB21" s="168">
        <v>2669</v>
      </c>
      <c r="AC21" s="168">
        <v>62272</v>
      </c>
      <c r="AD21" s="168">
        <f>+AC21/AB21</f>
        <v>23.331584863244661</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2669</v>
      </c>
      <c r="AC31" s="218">
        <f t="shared" ref="AC31:AD31" si="0">SUM(AC21:AC30)</f>
        <v>62272</v>
      </c>
      <c r="AD31" s="218">
        <f t="shared" si="0"/>
        <v>23.331584863244661</v>
      </c>
    </row>
    <row r="32" spans="1:30" s="4" customFormat="1" ht="13.2" x14ac:dyDescent="0.25">
      <c r="A32" s="52"/>
      <c r="L32" s="47"/>
      <c r="V32" s="47"/>
    </row>
    <row r="33" spans="1:30" ht="79.2" x14ac:dyDescent="0.3">
      <c r="A33" s="163">
        <v>44958</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v>71</v>
      </c>
      <c r="G34" s="168">
        <f>I34/8</f>
        <v>167.8237323943662</v>
      </c>
      <c r="H34" s="168">
        <v>95323.88</v>
      </c>
      <c r="I34" s="168">
        <f>+H34/F34</f>
        <v>1342.5898591549296</v>
      </c>
      <c r="J34" s="11">
        <v>12</v>
      </c>
      <c r="L34" s="11"/>
      <c r="M34" s="11"/>
      <c r="N34" s="11"/>
      <c r="O34" s="11"/>
      <c r="P34" s="11"/>
      <c r="Q34" s="11"/>
      <c r="R34" s="11"/>
      <c r="S34" s="11"/>
      <c r="T34" s="11"/>
      <c r="V34" s="11"/>
      <c r="W34" s="11"/>
      <c r="X34" s="11"/>
      <c r="Y34" s="11"/>
      <c r="Z34" s="11"/>
      <c r="AA34" s="11"/>
      <c r="AB34" s="168">
        <v>2389</v>
      </c>
      <c r="AC34" s="168">
        <v>38088</v>
      </c>
      <c r="AD34" s="168">
        <f>+AC34/AB34</f>
        <v>15.9430724152365</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2389</v>
      </c>
      <c r="AC44" s="218">
        <f t="shared" ref="AC44" si="1">SUM(AC34:AC43)</f>
        <v>38088</v>
      </c>
      <c r="AD44" s="218">
        <f t="shared" ref="AD44" si="2">SUM(AD34:AD43)</f>
        <v>15.9430724152365</v>
      </c>
    </row>
    <row r="45" spans="1:30" s="4" customFormat="1" ht="13.2" x14ac:dyDescent="0.25">
      <c r="A45" s="52"/>
      <c r="L45" s="47"/>
      <c r="V45" s="47"/>
    </row>
    <row r="46" spans="1:30" ht="79.2" x14ac:dyDescent="0.3">
      <c r="A46" s="163">
        <v>43497</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1985</v>
      </c>
      <c r="AC47" s="168">
        <v>35341</v>
      </c>
      <c r="AD47" s="168">
        <f>+AC47/AB47</f>
        <v>17.804030226700252</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1985</v>
      </c>
      <c r="AC57" s="218">
        <f t="shared" ref="AC57" si="3">SUM(AC47:AC56)</f>
        <v>35341</v>
      </c>
      <c r="AD57" s="218">
        <f t="shared" ref="AD57" si="4">SUM(AD47:AD56)</f>
        <v>17.804030226700252</v>
      </c>
    </row>
    <row r="58" spans="1:30" s="4" customFormat="1" ht="13.2" x14ac:dyDescent="0.25">
      <c r="A58" s="52"/>
      <c r="L58" s="47"/>
      <c r="V58" s="47"/>
    </row>
    <row r="59" spans="1:30" ht="79.2" x14ac:dyDescent="0.3">
      <c r="A59" s="163">
        <v>45323</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658</v>
      </c>
      <c r="AC60" s="168">
        <v>13686</v>
      </c>
      <c r="AD60" s="168">
        <f>+AC60/AB60</f>
        <v>20.799392097264437</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658</v>
      </c>
      <c r="AC71" s="218">
        <f t="shared" ref="AC71:AD71" si="5">SUM(AC60:AC70)</f>
        <v>13686</v>
      </c>
      <c r="AD71" s="218">
        <f t="shared" si="5"/>
        <v>20.799392097264437</v>
      </c>
    </row>
    <row r="72" spans="1:30" s="4" customFormat="1" ht="13.2" x14ac:dyDescent="0.25">
      <c r="L72" s="47"/>
      <c r="V72" s="47"/>
    </row>
    <row r="73" spans="1:30" ht="79.2" x14ac:dyDescent="0.3">
      <c r="A73" s="163">
        <v>44958</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429</v>
      </c>
      <c r="AC74" s="168">
        <v>5009</v>
      </c>
      <c r="AD74" s="168">
        <f>+AC74/AB74</f>
        <v>11.675990675990676</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429</v>
      </c>
      <c r="AC85" s="218">
        <f t="shared" ref="AC85" si="6">SUM(AC74:AC84)</f>
        <v>5009</v>
      </c>
      <c r="AD85" s="218">
        <f t="shared" ref="AD85" si="7">SUM(AD74:AD84)</f>
        <v>11.675990675990676</v>
      </c>
    </row>
    <row r="86" spans="1:30" s="4" customFormat="1" ht="13.2" x14ac:dyDescent="0.25">
      <c r="A86" s="52"/>
      <c r="L86" s="47"/>
      <c r="V86" s="47"/>
    </row>
    <row r="87" spans="1:30" ht="79.2" x14ac:dyDescent="0.3">
      <c r="A87" s="163">
        <v>43497</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751</v>
      </c>
      <c r="AC88" s="168">
        <v>7739</v>
      </c>
      <c r="AD88" s="168">
        <f>+AC88/AB88</f>
        <v>10.304926764314247</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751</v>
      </c>
      <c r="AC99" s="218">
        <f t="shared" ref="AC99" si="8">SUM(AC88:AC98)</f>
        <v>7739</v>
      </c>
      <c r="AD99" s="218">
        <f t="shared" ref="AD99" si="9">SUM(AD88:AD98)</f>
        <v>10.304926764314247</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O20" sqref="O20"/>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8" t="s">
        <v>94</v>
      </c>
      <c r="B2" s="319"/>
      <c r="C2" s="62"/>
      <c r="D2" s="62"/>
      <c r="I2" s="310" t="s">
        <v>124</v>
      </c>
      <c r="J2" s="311"/>
      <c r="K2" s="312"/>
      <c r="M2" s="318" t="s">
        <v>125</v>
      </c>
      <c r="N2" s="319"/>
      <c r="O2" s="80"/>
      <c r="P2" s="78"/>
      <c r="Q2" s="80"/>
      <c r="R2" s="80"/>
      <c r="S2" s="80"/>
      <c r="T2" s="80"/>
      <c r="V2" s="318" t="s">
        <v>103</v>
      </c>
      <c r="W2" s="319"/>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292</v>
      </c>
      <c r="B9" s="258"/>
      <c r="C9" s="258"/>
      <c r="D9" s="258"/>
      <c r="E9" s="258"/>
      <c r="F9" s="258"/>
      <c r="G9" s="258"/>
      <c r="I9" s="309" t="s">
        <v>304</v>
      </c>
      <c r="J9" s="258"/>
      <c r="K9" s="258"/>
      <c r="M9" s="320" t="s">
        <v>314</v>
      </c>
      <c r="N9" s="321"/>
      <c r="O9" s="321"/>
      <c r="P9" s="321"/>
      <c r="Q9" s="321"/>
      <c r="R9" s="321"/>
      <c r="S9" s="321"/>
      <c r="T9" s="321"/>
      <c r="V9" s="320" t="s">
        <v>306</v>
      </c>
      <c r="W9" s="321"/>
      <c r="X9" s="321"/>
      <c r="Y9" s="321"/>
      <c r="Z9" s="321"/>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09" t="s">
        <v>327</v>
      </c>
      <c r="J10" s="258"/>
      <c r="K10" s="258"/>
      <c r="M10" s="320" t="s">
        <v>315</v>
      </c>
      <c r="N10" s="321"/>
      <c r="O10" s="321"/>
      <c r="P10" s="321"/>
      <c r="Q10" s="321"/>
      <c r="R10" s="321"/>
      <c r="S10" s="321"/>
      <c r="T10" s="321"/>
      <c r="V10" s="322" t="s">
        <v>307</v>
      </c>
      <c r="W10" s="323"/>
      <c r="X10" s="323"/>
      <c r="Y10" s="323"/>
      <c r="Z10" s="323"/>
      <c r="AA10" s="62"/>
      <c r="AB10" s="5"/>
      <c r="AC10" s="5"/>
      <c r="AD10" s="5"/>
      <c r="AE10" s="5"/>
      <c r="AF10" s="5"/>
      <c r="AG10" s="5"/>
      <c r="AH10" s="5"/>
      <c r="AI10" s="5"/>
      <c r="AJ10" s="5"/>
      <c r="AK10" s="5"/>
      <c r="AL10" s="5"/>
      <c r="AM10" s="5"/>
    </row>
    <row r="11" spans="1:39" s="4" customFormat="1" ht="13.2" customHeight="1" x14ac:dyDescent="0.25">
      <c r="A11" s="258" t="s">
        <v>311</v>
      </c>
      <c r="B11" s="258"/>
      <c r="C11" s="258"/>
      <c r="D11" s="258"/>
      <c r="E11" s="258"/>
      <c r="F11" s="258"/>
      <c r="G11" s="258"/>
      <c r="I11" s="309" t="s">
        <v>312</v>
      </c>
      <c r="J11" s="258"/>
      <c r="K11" s="258"/>
      <c r="M11" s="320" t="s">
        <v>316</v>
      </c>
      <c r="N11" s="321"/>
      <c r="O11" s="321"/>
      <c r="P11" s="321"/>
      <c r="Q11" s="321"/>
      <c r="R11" s="321"/>
      <c r="S11" s="321"/>
      <c r="T11" s="321"/>
      <c r="V11" s="322" t="s">
        <v>308</v>
      </c>
      <c r="W11" s="323"/>
      <c r="X11" s="323"/>
      <c r="Y11" s="323"/>
      <c r="Z11" s="323"/>
      <c r="AA11" s="62"/>
      <c r="AB11" s="5"/>
      <c r="AC11" s="5"/>
      <c r="AD11" s="5"/>
      <c r="AE11" s="5"/>
      <c r="AF11" s="5"/>
      <c r="AG11" s="5"/>
      <c r="AH11" s="5"/>
      <c r="AI11" s="5"/>
      <c r="AJ11" s="5"/>
      <c r="AK11" s="5"/>
      <c r="AL11" s="5"/>
      <c r="AM11" s="5"/>
    </row>
    <row r="12" spans="1:39" s="4" customFormat="1" ht="13.2" customHeight="1" x14ac:dyDescent="0.25">
      <c r="A12" s="258"/>
      <c r="B12" s="258"/>
      <c r="C12" s="258"/>
      <c r="D12" s="258"/>
      <c r="E12" s="258"/>
      <c r="F12" s="258"/>
      <c r="G12" s="258"/>
      <c r="I12" s="309"/>
      <c r="J12" s="258"/>
      <c r="K12" s="258"/>
      <c r="M12" s="320" t="s">
        <v>313</v>
      </c>
      <c r="N12" s="321"/>
      <c r="O12" s="321"/>
      <c r="P12" s="321"/>
      <c r="Q12" s="321"/>
      <c r="R12" s="321"/>
      <c r="S12" s="321"/>
      <c r="T12" s="321"/>
      <c r="V12" s="320" t="s">
        <v>309</v>
      </c>
      <c r="W12" s="321"/>
      <c r="X12" s="321"/>
      <c r="Y12" s="321"/>
      <c r="Z12" s="321"/>
      <c r="AA12" s="62"/>
      <c r="AB12" s="5"/>
      <c r="AC12" s="5"/>
      <c r="AD12" s="5"/>
      <c r="AE12" s="5"/>
      <c r="AF12" s="5"/>
      <c r="AG12" s="5"/>
      <c r="AH12" s="5"/>
      <c r="AI12" s="5"/>
      <c r="AJ12" s="5"/>
      <c r="AK12" s="5"/>
      <c r="AL12" s="5"/>
      <c r="AM12" s="5"/>
    </row>
    <row r="13" spans="1:39" s="4" customFormat="1" ht="13.2" customHeight="1" x14ac:dyDescent="0.25">
      <c r="I13" s="47"/>
      <c r="M13" s="320" t="s">
        <v>317</v>
      </c>
      <c r="N13" s="321"/>
      <c r="O13" s="321"/>
      <c r="P13" s="321"/>
      <c r="Q13" s="321"/>
      <c r="R13" s="321"/>
      <c r="S13" s="321"/>
      <c r="T13" s="321"/>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328</v>
      </c>
      <c r="J17" s="104" t="s">
        <v>319</v>
      </c>
      <c r="K17" s="105" t="s">
        <v>320</v>
      </c>
      <c r="M17" s="103" t="s">
        <v>329</v>
      </c>
      <c r="N17" s="104" t="s">
        <v>151</v>
      </c>
      <c r="O17" s="68"/>
      <c r="P17" s="65" t="s">
        <v>321</v>
      </c>
      <c r="Q17" s="104" t="s">
        <v>151</v>
      </c>
      <c r="R17" s="68"/>
      <c r="S17" s="65" t="s">
        <v>322</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3</v>
      </c>
      <c r="J18" s="60">
        <v>4</v>
      </c>
      <c r="K18" s="102">
        <v>1</v>
      </c>
      <c r="M18" s="221">
        <v>3</v>
      </c>
      <c r="N18" s="219">
        <v>42</v>
      </c>
      <c r="P18" s="221">
        <v>4</v>
      </c>
      <c r="Q18" s="219">
        <v>55.2</v>
      </c>
      <c r="S18" s="224">
        <v>1</v>
      </c>
      <c r="T18" s="220">
        <v>12.2</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2">
        <v>0</v>
      </c>
      <c r="K19" s="223">
        <v>0</v>
      </c>
      <c r="M19" s="222">
        <v>0</v>
      </c>
      <c r="N19" s="219">
        <v>0</v>
      </c>
      <c r="P19" s="222">
        <v>0</v>
      </c>
      <c r="Q19" s="219">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0</v>
      </c>
      <c r="J20" s="222">
        <v>71</v>
      </c>
      <c r="K20" s="223">
        <v>0</v>
      </c>
      <c r="M20" s="222">
        <v>0</v>
      </c>
      <c r="N20" s="219">
        <v>0</v>
      </c>
      <c r="P20" s="222">
        <v>28</v>
      </c>
      <c r="Q20" s="219">
        <v>6234.47</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2">
        <v>0</v>
      </c>
      <c r="K21" s="223">
        <v>0</v>
      </c>
      <c r="M21" s="222">
        <v>0</v>
      </c>
      <c r="N21" s="219">
        <v>0</v>
      </c>
      <c r="P21" s="222">
        <v>0</v>
      </c>
      <c r="Q21" s="219">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4" t="s">
        <v>99</v>
      </c>
      <c r="B2" s="325"/>
      <c r="C2" s="325"/>
      <c r="D2" s="325"/>
      <c r="E2" s="325"/>
      <c r="F2" s="325"/>
      <c r="G2" s="326"/>
    </row>
    <row r="3" spans="1:7" x14ac:dyDescent="0.3">
      <c r="A3" s="327"/>
      <c r="B3" s="328"/>
      <c r="C3" s="328"/>
      <c r="D3" s="328"/>
      <c r="E3" s="328"/>
      <c r="F3" s="328"/>
      <c r="G3" s="329"/>
    </row>
    <row r="4" spans="1:7" ht="32.25" customHeight="1" thickBot="1" x14ac:dyDescent="0.35">
      <c r="A4" s="330"/>
      <c r="B4" s="331"/>
      <c r="C4" s="331"/>
      <c r="D4" s="331"/>
      <c r="E4" s="331"/>
      <c r="F4" s="331"/>
      <c r="G4" s="332"/>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2024-04-29T19:39:02Z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